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gavoltcivils-my.sharepoint.com/personal/charl_megainfra_co_za/Documents/Desktop/Mega Plant Costing/"/>
    </mc:Choice>
  </mc:AlternateContent>
  <xr:revisionPtr revIDLastSave="0" documentId="8_{CC2C7CB6-3835-4603-A7DE-E744F773407E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Sheet1" sheetId="3" r:id="rId1"/>
    <sheet name="Cost" sheetId="1" r:id="rId2"/>
    <sheet name="Monthly Running Cost" sheetId="5" r:id="rId3"/>
    <sheet name="Machine Fixed Monthly Cost VS I" sheetId="4" r:id="rId4"/>
    <sheet name="Machine Graph Data" sheetId="6" r:id="rId5"/>
    <sheet name="Machine Monthly Graph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9" i="6" l="1"/>
  <c r="D599" i="6"/>
  <c r="C599" i="6"/>
  <c r="B599" i="6"/>
  <c r="E598" i="6"/>
  <c r="D598" i="6"/>
  <c r="C598" i="6"/>
  <c r="B598" i="6"/>
  <c r="E597" i="6"/>
  <c r="D597" i="6"/>
  <c r="C597" i="6"/>
  <c r="B597" i="6"/>
  <c r="E596" i="6"/>
  <c r="D596" i="6"/>
  <c r="C596" i="6"/>
  <c r="B596" i="6"/>
  <c r="E595" i="6"/>
  <c r="D595" i="6"/>
  <c r="C595" i="6"/>
  <c r="B595" i="6"/>
  <c r="E594" i="6"/>
  <c r="C594" i="6"/>
  <c r="B594" i="6"/>
  <c r="E593" i="6"/>
  <c r="C593" i="6"/>
  <c r="B593" i="6"/>
  <c r="E592" i="6"/>
  <c r="C592" i="6"/>
  <c r="B592" i="6"/>
  <c r="E591" i="6"/>
  <c r="C591" i="6"/>
  <c r="B591" i="6"/>
  <c r="E590" i="6"/>
  <c r="C590" i="6"/>
  <c r="B590" i="6"/>
  <c r="E589" i="6"/>
  <c r="C589" i="6"/>
  <c r="B589" i="6"/>
  <c r="E588" i="6"/>
  <c r="C588" i="6"/>
  <c r="B588" i="6"/>
  <c r="E584" i="6"/>
  <c r="D584" i="6"/>
  <c r="C584" i="6"/>
  <c r="B584" i="6"/>
  <c r="E583" i="6"/>
  <c r="D583" i="6"/>
  <c r="C583" i="6"/>
  <c r="B583" i="6"/>
  <c r="E582" i="6"/>
  <c r="D582" i="6"/>
  <c r="C582" i="6"/>
  <c r="B582" i="6"/>
  <c r="E581" i="6"/>
  <c r="D581" i="6"/>
  <c r="C581" i="6"/>
  <c r="B581" i="6"/>
  <c r="E580" i="6"/>
  <c r="D580" i="6"/>
  <c r="C580" i="6"/>
  <c r="B580" i="6"/>
  <c r="E579" i="6"/>
  <c r="C579" i="6"/>
  <c r="B579" i="6"/>
  <c r="E578" i="6"/>
  <c r="C578" i="6"/>
  <c r="B578" i="6"/>
  <c r="E577" i="6"/>
  <c r="C577" i="6"/>
  <c r="B577" i="6"/>
  <c r="E576" i="6"/>
  <c r="C576" i="6"/>
  <c r="B576" i="6"/>
  <c r="E575" i="6"/>
  <c r="C575" i="6"/>
  <c r="B575" i="6"/>
  <c r="E574" i="6"/>
  <c r="C574" i="6"/>
  <c r="B574" i="6"/>
  <c r="E573" i="6"/>
  <c r="C573" i="6"/>
  <c r="B573" i="6"/>
  <c r="E569" i="6"/>
  <c r="D569" i="6"/>
  <c r="C569" i="6"/>
  <c r="B569" i="6"/>
  <c r="E568" i="6"/>
  <c r="D568" i="6"/>
  <c r="C568" i="6"/>
  <c r="B568" i="6"/>
  <c r="E567" i="6"/>
  <c r="D567" i="6"/>
  <c r="C567" i="6"/>
  <c r="B567" i="6"/>
  <c r="E566" i="6"/>
  <c r="D566" i="6"/>
  <c r="C566" i="6"/>
  <c r="B566" i="6"/>
  <c r="E565" i="6"/>
  <c r="D565" i="6"/>
  <c r="C565" i="6"/>
  <c r="B565" i="6"/>
  <c r="E564" i="6"/>
  <c r="C564" i="6"/>
  <c r="B564" i="6"/>
  <c r="E563" i="6"/>
  <c r="C563" i="6"/>
  <c r="B563" i="6"/>
  <c r="E562" i="6"/>
  <c r="C562" i="6"/>
  <c r="B562" i="6"/>
  <c r="E561" i="6"/>
  <c r="C561" i="6"/>
  <c r="B561" i="6"/>
  <c r="E560" i="6"/>
  <c r="C560" i="6"/>
  <c r="B560" i="6"/>
  <c r="E559" i="6"/>
  <c r="C559" i="6"/>
  <c r="B559" i="6"/>
  <c r="E558" i="6"/>
  <c r="C558" i="6"/>
  <c r="B558" i="6"/>
  <c r="E554" i="6"/>
  <c r="D554" i="6"/>
  <c r="C554" i="6"/>
  <c r="B554" i="6"/>
  <c r="E553" i="6"/>
  <c r="D553" i="6"/>
  <c r="C553" i="6"/>
  <c r="B553" i="6"/>
  <c r="E552" i="6"/>
  <c r="D552" i="6"/>
  <c r="C552" i="6"/>
  <c r="B552" i="6"/>
  <c r="E551" i="6"/>
  <c r="D551" i="6"/>
  <c r="C551" i="6"/>
  <c r="B551" i="6"/>
  <c r="E550" i="6"/>
  <c r="D550" i="6"/>
  <c r="C550" i="6"/>
  <c r="B550" i="6"/>
  <c r="E549" i="6"/>
  <c r="C549" i="6"/>
  <c r="B549" i="6"/>
  <c r="E548" i="6"/>
  <c r="C548" i="6"/>
  <c r="B548" i="6"/>
  <c r="E547" i="6"/>
  <c r="C547" i="6"/>
  <c r="B547" i="6"/>
  <c r="E546" i="6"/>
  <c r="C546" i="6"/>
  <c r="B546" i="6"/>
  <c r="E545" i="6"/>
  <c r="C545" i="6"/>
  <c r="B545" i="6"/>
  <c r="E544" i="6"/>
  <c r="C544" i="6"/>
  <c r="B544" i="6"/>
  <c r="E543" i="6"/>
  <c r="C543" i="6"/>
  <c r="B543" i="6"/>
  <c r="E539" i="6"/>
  <c r="D539" i="6"/>
  <c r="C539" i="6"/>
  <c r="B539" i="6"/>
  <c r="E538" i="6"/>
  <c r="D538" i="6"/>
  <c r="C538" i="6"/>
  <c r="B538" i="6"/>
  <c r="E537" i="6"/>
  <c r="D537" i="6"/>
  <c r="C537" i="6"/>
  <c r="B537" i="6"/>
  <c r="E536" i="6"/>
  <c r="D536" i="6"/>
  <c r="C536" i="6"/>
  <c r="B536" i="6"/>
  <c r="E535" i="6"/>
  <c r="D535" i="6"/>
  <c r="C535" i="6"/>
  <c r="B535" i="6"/>
  <c r="E534" i="6"/>
  <c r="C534" i="6"/>
  <c r="B534" i="6"/>
  <c r="E533" i="6"/>
  <c r="C533" i="6"/>
  <c r="B533" i="6"/>
  <c r="E532" i="6"/>
  <c r="C532" i="6"/>
  <c r="E531" i="6"/>
  <c r="C531" i="6"/>
  <c r="E530" i="6"/>
  <c r="C530" i="6"/>
  <c r="E529" i="6"/>
  <c r="C529" i="6"/>
  <c r="E528" i="6"/>
  <c r="C528" i="6"/>
  <c r="B528" i="6"/>
  <c r="E524" i="6"/>
  <c r="D524" i="6"/>
  <c r="C524" i="6"/>
  <c r="B524" i="6"/>
  <c r="E523" i="6"/>
  <c r="D523" i="6"/>
  <c r="C523" i="6"/>
  <c r="B523" i="6"/>
  <c r="E522" i="6"/>
  <c r="D522" i="6"/>
  <c r="C522" i="6"/>
  <c r="B522" i="6"/>
  <c r="E521" i="6"/>
  <c r="D521" i="6"/>
  <c r="C521" i="6"/>
  <c r="B521" i="6"/>
  <c r="E520" i="6"/>
  <c r="D520" i="6"/>
  <c r="C520" i="6"/>
  <c r="B520" i="6"/>
  <c r="E519" i="6"/>
  <c r="C519" i="6"/>
  <c r="B519" i="6"/>
  <c r="E518" i="6"/>
  <c r="C518" i="6"/>
  <c r="B518" i="6"/>
  <c r="E517" i="6"/>
  <c r="C517" i="6"/>
  <c r="E516" i="6"/>
  <c r="C516" i="6"/>
  <c r="E515" i="6"/>
  <c r="C515" i="6"/>
  <c r="E514" i="6"/>
  <c r="C514" i="6"/>
  <c r="E513" i="6"/>
  <c r="C513" i="6"/>
  <c r="B513" i="6"/>
  <c r="E509" i="6"/>
  <c r="D509" i="6"/>
  <c r="C509" i="6"/>
  <c r="B509" i="6"/>
  <c r="E508" i="6"/>
  <c r="D508" i="6"/>
  <c r="C508" i="6"/>
  <c r="B508" i="6"/>
  <c r="E507" i="6"/>
  <c r="D507" i="6"/>
  <c r="C507" i="6"/>
  <c r="B507" i="6"/>
  <c r="E506" i="6"/>
  <c r="D506" i="6"/>
  <c r="C506" i="6"/>
  <c r="B506" i="6"/>
  <c r="E505" i="6"/>
  <c r="D505" i="6"/>
  <c r="C505" i="6"/>
  <c r="B505" i="6"/>
  <c r="E504" i="6"/>
  <c r="C504" i="6"/>
  <c r="B504" i="6"/>
  <c r="E503" i="6"/>
  <c r="C503" i="6"/>
  <c r="B503" i="6"/>
  <c r="E502" i="6"/>
  <c r="C502" i="6"/>
  <c r="E501" i="6"/>
  <c r="C501" i="6"/>
  <c r="E500" i="6"/>
  <c r="C500" i="6"/>
  <c r="E499" i="6"/>
  <c r="C499" i="6"/>
  <c r="E498" i="6"/>
  <c r="C498" i="6"/>
  <c r="B498" i="6"/>
  <c r="E494" i="6"/>
  <c r="D494" i="6"/>
  <c r="C494" i="6"/>
  <c r="B494" i="6"/>
  <c r="E493" i="6"/>
  <c r="D493" i="6"/>
  <c r="C493" i="6"/>
  <c r="B493" i="6"/>
  <c r="E492" i="6"/>
  <c r="D492" i="6"/>
  <c r="C492" i="6"/>
  <c r="B492" i="6"/>
  <c r="E491" i="6"/>
  <c r="D491" i="6"/>
  <c r="C491" i="6"/>
  <c r="B491" i="6"/>
  <c r="E490" i="6"/>
  <c r="D490" i="6"/>
  <c r="C490" i="6"/>
  <c r="B490" i="6"/>
  <c r="E489" i="6"/>
  <c r="C489" i="6"/>
  <c r="B489" i="6"/>
  <c r="E488" i="6"/>
  <c r="C488" i="6"/>
  <c r="B488" i="6"/>
  <c r="E487" i="6"/>
  <c r="C487" i="6"/>
  <c r="E486" i="6"/>
  <c r="C486" i="6"/>
  <c r="E485" i="6"/>
  <c r="C485" i="6"/>
  <c r="E484" i="6"/>
  <c r="C484" i="6"/>
  <c r="E483" i="6"/>
  <c r="C483" i="6"/>
  <c r="B483" i="6"/>
  <c r="E479" i="6"/>
  <c r="D479" i="6"/>
  <c r="C479" i="6"/>
  <c r="B479" i="6"/>
  <c r="E478" i="6"/>
  <c r="D478" i="6"/>
  <c r="C478" i="6"/>
  <c r="B478" i="6"/>
  <c r="E477" i="6"/>
  <c r="D477" i="6"/>
  <c r="C477" i="6"/>
  <c r="B477" i="6"/>
  <c r="E476" i="6"/>
  <c r="D476" i="6"/>
  <c r="C476" i="6"/>
  <c r="B476" i="6"/>
  <c r="E475" i="6"/>
  <c r="D475" i="6"/>
  <c r="C475" i="6"/>
  <c r="B475" i="6"/>
  <c r="E474" i="6"/>
  <c r="C474" i="6"/>
  <c r="B474" i="6"/>
  <c r="E473" i="6"/>
  <c r="C473" i="6"/>
  <c r="E472" i="6"/>
  <c r="C472" i="6"/>
  <c r="B472" i="6"/>
  <c r="E471" i="6"/>
  <c r="C471" i="6"/>
  <c r="B471" i="6"/>
  <c r="E470" i="6"/>
  <c r="C470" i="6"/>
  <c r="B470" i="6"/>
  <c r="E469" i="6"/>
  <c r="C469" i="6"/>
  <c r="E468" i="6"/>
  <c r="C468" i="6"/>
  <c r="B468" i="6"/>
  <c r="E464" i="6"/>
  <c r="D464" i="6"/>
  <c r="C464" i="6"/>
  <c r="B464" i="6"/>
  <c r="E463" i="6"/>
  <c r="D463" i="6"/>
  <c r="C463" i="6"/>
  <c r="B463" i="6"/>
  <c r="E462" i="6"/>
  <c r="D462" i="6"/>
  <c r="C462" i="6"/>
  <c r="B462" i="6"/>
  <c r="E461" i="6"/>
  <c r="D461" i="6"/>
  <c r="C461" i="6"/>
  <c r="B461" i="6"/>
  <c r="E460" i="6"/>
  <c r="D460" i="6"/>
  <c r="C460" i="6"/>
  <c r="B460" i="6"/>
  <c r="E459" i="6"/>
  <c r="C459" i="6"/>
  <c r="B459" i="6"/>
  <c r="E458" i="6"/>
  <c r="C458" i="6"/>
  <c r="E457" i="6"/>
  <c r="C457" i="6"/>
  <c r="E456" i="6"/>
  <c r="C456" i="6"/>
  <c r="E455" i="6"/>
  <c r="C455" i="6"/>
  <c r="E454" i="6"/>
  <c r="C454" i="6"/>
  <c r="E453" i="6"/>
  <c r="C453" i="6"/>
  <c r="B453" i="6"/>
  <c r="E449" i="6"/>
  <c r="D449" i="6"/>
  <c r="C449" i="6"/>
  <c r="B449" i="6"/>
  <c r="E448" i="6"/>
  <c r="D448" i="6"/>
  <c r="C448" i="6"/>
  <c r="B448" i="6"/>
  <c r="E447" i="6"/>
  <c r="D447" i="6"/>
  <c r="C447" i="6"/>
  <c r="B447" i="6"/>
  <c r="E446" i="6"/>
  <c r="D446" i="6"/>
  <c r="C446" i="6"/>
  <c r="B446" i="6"/>
  <c r="E445" i="6"/>
  <c r="D445" i="6"/>
  <c r="C445" i="6"/>
  <c r="B445" i="6"/>
  <c r="E444" i="6"/>
  <c r="C444" i="6"/>
  <c r="B444" i="6"/>
  <c r="E443" i="6"/>
  <c r="C443" i="6"/>
  <c r="E442" i="6"/>
  <c r="C442" i="6"/>
  <c r="E441" i="6"/>
  <c r="C441" i="6"/>
  <c r="E440" i="6"/>
  <c r="C440" i="6"/>
  <c r="E439" i="6"/>
  <c r="C439" i="6"/>
  <c r="E438" i="6"/>
  <c r="C438" i="6"/>
  <c r="B438" i="6"/>
  <c r="E434" i="6"/>
  <c r="D434" i="6"/>
  <c r="C434" i="6"/>
  <c r="B434" i="6"/>
  <c r="E433" i="6"/>
  <c r="D433" i="6"/>
  <c r="C433" i="6"/>
  <c r="B433" i="6"/>
  <c r="E432" i="6"/>
  <c r="D432" i="6"/>
  <c r="C432" i="6"/>
  <c r="B432" i="6"/>
  <c r="E431" i="6"/>
  <c r="D431" i="6"/>
  <c r="C431" i="6"/>
  <c r="B431" i="6"/>
  <c r="E430" i="6"/>
  <c r="D430" i="6"/>
  <c r="C430" i="6"/>
  <c r="B430" i="6"/>
  <c r="E429" i="6"/>
  <c r="D429" i="6"/>
  <c r="C429" i="6"/>
  <c r="B429" i="6"/>
  <c r="E428" i="6"/>
  <c r="C428" i="6"/>
  <c r="B428" i="6"/>
  <c r="E427" i="6"/>
  <c r="C427" i="6"/>
  <c r="B427" i="6"/>
  <c r="E426" i="6"/>
  <c r="C426" i="6"/>
  <c r="E425" i="6"/>
  <c r="C425" i="6"/>
  <c r="E424" i="6"/>
  <c r="C424" i="6"/>
  <c r="E423" i="6"/>
  <c r="C423" i="6"/>
  <c r="B423" i="6"/>
  <c r="E419" i="6"/>
  <c r="D419" i="6"/>
  <c r="C419" i="6"/>
  <c r="B419" i="6"/>
  <c r="E418" i="6"/>
  <c r="D418" i="6"/>
  <c r="C418" i="6"/>
  <c r="B418" i="6"/>
  <c r="E417" i="6"/>
  <c r="D417" i="6"/>
  <c r="C417" i="6"/>
  <c r="B417" i="6"/>
  <c r="E416" i="6"/>
  <c r="D416" i="6"/>
  <c r="C416" i="6"/>
  <c r="B416" i="6"/>
  <c r="E415" i="6"/>
  <c r="D415" i="6"/>
  <c r="C415" i="6"/>
  <c r="B415" i="6"/>
  <c r="E414" i="6"/>
  <c r="C414" i="6"/>
  <c r="B414" i="6"/>
  <c r="E413" i="6"/>
  <c r="C413" i="6"/>
  <c r="B413" i="6"/>
  <c r="E412" i="6"/>
  <c r="C412" i="6"/>
  <c r="B412" i="6"/>
  <c r="E411" i="6"/>
  <c r="C411" i="6"/>
  <c r="E410" i="6"/>
  <c r="C410" i="6"/>
  <c r="E409" i="6"/>
  <c r="C409" i="6"/>
  <c r="E408" i="6"/>
  <c r="C408" i="6"/>
  <c r="B408" i="6"/>
  <c r="E404" i="6"/>
  <c r="D404" i="6"/>
  <c r="C404" i="6"/>
  <c r="B404" i="6"/>
  <c r="E403" i="6"/>
  <c r="D403" i="6"/>
  <c r="C403" i="6"/>
  <c r="B403" i="6"/>
  <c r="E402" i="6"/>
  <c r="D402" i="6"/>
  <c r="C402" i="6"/>
  <c r="B402" i="6"/>
  <c r="E401" i="6"/>
  <c r="D401" i="6"/>
  <c r="C401" i="6"/>
  <c r="B401" i="6"/>
  <c r="E400" i="6"/>
  <c r="D400" i="6"/>
  <c r="C400" i="6"/>
  <c r="E399" i="6"/>
  <c r="C399" i="6"/>
  <c r="B399" i="6"/>
  <c r="E398" i="6"/>
  <c r="C398" i="6"/>
  <c r="B398" i="6"/>
  <c r="E397" i="6"/>
  <c r="C397" i="6"/>
  <c r="B397" i="6"/>
  <c r="E396" i="6"/>
  <c r="D396" i="6"/>
  <c r="C396" i="6"/>
  <c r="B396" i="6"/>
  <c r="E395" i="6"/>
  <c r="C395" i="6"/>
  <c r="B395" i="6"/>
  <c r="E394" i="6"/>
  <c r="C394" i="6"/>
  <c r="B394" i="6"/>
  <c r="E393" i="6"/>
  <c r="C393" i="6"/>
  <c r="B393" i="6"/>
  <c r="E389" i="6"/>
  <c r="D389" i="6"/>
  <c r="C389" i="6"/>
  <c r="B389" i="6"/>
  <c r="E388" i="6"/>
  <c r="D388" i="6"/>
  <c r="C388" i="6"/>
  <c r="B388" i="6"/>
  <c r="E387" i="6"/>
  <c r="D387" i="6"/>
  <c r="C387" i="6"/>
  <c r="B387" i="6"/>
  <c r="E386" i="6"/>
  <c r="D386" i="6"/>
  <c r="C386" i="6"/>
  <c r="B386" i="6"/>
  <c r="E385" i="6"/>
  <c r="D385" i="6"/>
  <c r="C385" i="6"/>
  <c r="B385" i="6"/>
  <c r="C384" i="6"/>
  <c r="B384" i="6"/>
  <c r="E383" i="6"/>
  <c r="C383" i="6"/>
  <c r="B383" i="6"/>
  <c r="E382" i="6"/>
  <c r="C382" i="6"/>
  <c r="B382" i="6"/>
  <c r="E381" i="6"/>
  <c r="C381" i="6"/>
  <c r="B381" i="6"/>
  <c r="E380" i="6"/>
  <c r="C380" i="6"/>
  <c r="B380" i="6"/>
  <c r="E379" i="6"/>
  <c r="C379" i="6"/>
  <c r="B379" i="6"/>
  <c r="C378" i="6"/>
  <c r="B378" i="6"/>
  <c r="E374" i="6"/>
  <c r="D374" i="6"/>
  <c r="C374" i="6"/>
  <c r="B374" i="6"/>
  <c r="E373" i="6"/>
  <c r="D373" i="6"/>
  <c r="C373" i="6"/>
  <c r="B373" i="6"/>
  <c r="E372" i="6"/>
  <c r="D372" i="6"/>
  <c r="C372" i="6"/>
  <c r="B372" i="6"/>
  <c r="E371" i="6"/>
  <c r="D371" i="6"/>
  <c r="C371" i="6"/>
  <c r="B371" i="6"/>
  <c r="E370" i="6"/>
  <c r="D370" i="6"/>
  <c r="C370" i="6"/>
  <c r="B370" i="6"/>
  <c r="E369" i="6"/>
  <c r="C369" i="6"/>
  <c r="B369" i="6"/>
  <c r="E368" i="6"/>
  <c r="D368" i="6"/>
  <c r="C368" i="6"/>
  <c r="B368" i="6"/>
  <c r="E367" i="6"/>
  <c r="C367" i="6"/>
  <c r="B367" i="6"/>
  <c r="E366" i="6"/>
  <c r="C366" i="6"/>
  <c r="B366" i="6"/>
  <c r="E365" i="6"/>
  <c r="C365" i="6"/>
  <c r="B365" i="6"/>
  <c r="E364" i="6"/>
  <c r="C364" i="6"/>
  <c r="B364" i="6"/>
  <c r="E363" i="6"/>
  <c r="C363" i="6"/>
  <c r="B363" i="6"/>
  <c r="E359" i="6"/>
  <c r="D359" i="6"/>
  <c r="C359" i="6"/>
  <c r="B359" i="6"/>
  <c r="E358" i="6"/>
  <c r="D358" i="6"/>
  <c r="C358" i="6"/>
  <c r="B358" i="6"/>
  <c r="E357" i="6"/>
  <c r="D357" i="6"/>
  <c r="C357" i="6"/>
  <c r="B357" i="6"/>
  <c r="E356" i="6"/>
  <c r="D356" i="6"/>
  <c r="C356" i="6"/>
  <c r="B356" i="6"/>
  <c r="E355" i="6"/>
  <c r="D355" i="6"/>
  <c r="C355" i="6"/>
  <c r="B355" i="6"/>
  <c r="E354" i="6"/>
  <c r="C354" i="6"/>
  <c r="B354" i="6"/>
  <c r="E353" i="6"/>
  <c r="C353" i="6"/>
  <c r="B353" i="6"/>
  <c r="E352" i="6"/>
  <c r="C352" i="6"/>
  <c r="B352" i="6"/>
  <c r="E351" i="6"/>
  <c r="C351" i="6"/>
  <c r="B351" i="6"/>
  <c r="E350" i="6"/>
  <c r="C350" i="6"/>
  <c r="B350" i="6"/>
  <c r="E349" i="6"/>
  <c r="C349" i="6"/>
  <c r="B349" i="6"/>
  <c r="E348" i="6"/>
  <c r="D348" i="6"/>
  <c r="C348" i="6"/>
  <c r="B348" i="6"/>
  <c r="E344" i="6"/>
  <c r="D344" i="6"/>
  <c r="C344" i="6"/>
  <c r="B344" i="6"/>
  <c r="E343" i="6"/>
  <c r="D343" i="6"/>
  <c r="C343" i="6"/>
  <c r="B343" i="6"/>
  <c r="E342" i="6"/>
  <c r="D342" i="6"/>
  <c r="C342" i="6"/>
  <c r="B342" i="6"/>
  <c r="E341" i="6"/>
  <c r="D341" i="6"/>
  <c r="C341" i="6"/>
  <c r="B341" i="6"/>
  <c r="E340" i="6"/>
  <c r="D340" i="6"/>
  <c r="C340" i="6"/>
  <c r="B340" i="6"/>
  <c r="E339" i="6"/>
  <c r="C339" i="6"/>
  <c r="B339" i="6"/>
  <c r="E338" i="6"/>
  <c r="C338" i="6"/>
  <c r="B338" i="6"/>
  <c r="E337" i="6"/>
  <c r="C337" i="6"/>
  <c r="B337" i="6"/>
  <c r="E336" i="6"/>
  <c r="C336" i="6"/>
  <c r="B336" i="6"/>
  <c r="E335" i="6"/>
  <c r="C335" i="6"/>
  <c r="B335" i="6"/>
  <c r="E334" i="6"/>
  <c r="C334" i="6"/>
  <c r="B334" i="6"/>
  <c r="E333" i="6"/>
  <c r="C333" i="6"/>
  <c r="B333" i="6"/>
  <c r="E329" i="6"/>
  <c r="D329" i="6"/>
  <c r="C329" i="6"/>
  <c r="B329" i="6"/>
  <c r="E328" i="6"/>
  <c r="D328" i="6"/>
  <c r="C328" i="6"/>
  <c r="B328" i="6"/>
  <c r="E327" i="6"/>
  <c r="D327" i="6"/>
  <c r="C327" i="6"/>
  <c r="B327" i="6"/>
  <c r="E326" i="6"/>
  <c r="D326" i="6"/>
  <c r="C326" i="6"/>
  <c r="B326" i="6"/>
  <c r="E325" i="6"/>
  <c r="D325" i="6"/>
  <c r="C325" i="6"/>
  <c r="B325" i="6"/>
  <c r="E324" i="6"/>
  <c r="C324" i="6"/>
  <c r="B324" i="6"/>
  <c r="E323" i="6"/>
  <c r="C323" i="6"/>
  <c r="B323" i="6"/>
  <c r="E322" i="6"/>
  <c r="C322" i="6"/>
  <c r="B322" i="6"/>
  <c r="E321" i="6"/>
  <c r="C321" i="6"/>
  <c r="B321" i="6"/>
  <c r="E320" i="6"/>
  <c r="D320" i="6"/>
  <c r="C320" i="6"/>
  <c r="B320" i="6"/>
  <c r="E319" i="6"/>
  <c r="C319" i="6"/>
  <c r="B319" i="6"/>
  <c r="E318" i="6"/>
  <c r="C318" i="6"/>
  <c r="B318" i="6"/>
  <c r="E314" i="6"/>
  <c r="D314" i="6"/>
  <c r="C314" i="6"/>
  <c r="B314" i="6"/>
  <c r="E313" i="6"/>
  <c r="D313" i="6"/>
  <c r="C313" i="6"/>
  <c r="B313" i="6"/>
  <c r="E312" i="6"/>
  <c r="D312" i="6"/>
  <c r="C312" i="6"/>
  <c r="B312" i="6"/>
  <c r="E311" i="6"/>
  <c r="D311" i="6"/>
  <c r="C311" i="6"/>
  <c r="B311" i="6"/>
  <c r="E310" i="6"/>
  <c r="D310" i="6"/>
  <c r="C310" i="6"/>
  <c r="B310" i="6"/>
  <c r="E309" i="6"/>
  <c r="C309" i="6"/>
  <c r="B309" i="6"/>
  <c r="E308" i="6"/>
  <c r="C308" i="6"/>
  <c r="B308" i="6"/>
  <c r="E307" i="6"/>
  <c r="C307" i="6"/>
  <c r="B307" i="6"/>
  <c r="E306" i="6"/>
  <c r="C306" i="6"/>
  <c r="B306" i="6"/>
  <c r="E305" i="6"/>
  <c r="C305" i="6"/>
  <c r="B305" i="6"/>
  <c r="E304" i="6"/>
  <c r="C304" i="6"/>
  <c r="B304" i="6"/>
  <c r="E303" i="6"/>
  <c r="C303" i="6"/>
  <c r="B303" i="6"/>
  <c r="E299" i="6"/>
  <c r="D299" i="6"/>
  <c r="B299" i="6"/>
  <c r="E298" i="6"/>
  <c r="D298" i="6"/>
  <c r="B298" i="6"/>
  <c r="E297" i="6"/>
  <c r="D297" i="6"/>
  <c r="B297" i="6"/>
  <c r="E296" i="6"/>
  <c r="D296" i="6"/>
  <c r="B296" i="6"/>
  <c r="D295" i="6"/>
  <c r="B295" i="6"/>
  <c r="B294" i="6"/>
  <c r="B293" i="6"/>
  <c r="B292" i="6"/>
  <c r="B291" i="6"/>
  <c r="E290" i="6"/>
  <c r="B290" i="6"/>
  <c r="E289" i="6"/>
  <c r="B289" i="6"/>
  <c r="B288" i="6"/>
  <c r="E284" i="6"/>
  <c r="D284" i="6"/>
  <c r="B284" i="6"/>
  <c r="E283" i="6"/>
  <c r="D283" i="6"/>
  <c r="B283" i="6"/>
  <c r="E282" i="6"/>
  <c r="D282" i="6"/>
  <c r="B282" i="6"/>
  <c r="E281" i="6"/>
  <c r="D281" i="6"/>
  <c r="B281" i="6"/>
  <c r="D280" i="6"/>
  <c r="E279" i="6"/>
  <c r="E273" i="6"/>
  <c r="B273" i="6"/>
  <c r="E269" i="6"/>
  <c r="D269" i="6"/>
  <c r="B269" i="6"/>
  <c r="E268" i="6"/>
  <c r="D268" i="6"/>
  <c r="B268" i="6"/>
  <c r="E267" i="6"/>
  <c r="D267" i="6"/>
  <c r="B267" i="6"/>
  <c r="E266" i="6"/>
  <c r="D266" i="6"/>
  <c r="B266" i="6"/>
  <c r="E265" i="6"/>
  <c r="D265" i="6"/>
  <c r="E264" i="6"/>
  <c r="B261" i="6"/>
  <c r="E260" i="6"/>
  <c r="E258" i="6"/>
  <c r="E254" i="6"/>
  <c r="D254" i="6"/>
  <c r="B254" i="6"/>
  <c r="E253" i="6"/>
  <c r="D253" i="6"/>
  <c r="B253" i="6"/>
  <c r="E252" i="6"/>
  <c r="D252" i="6"/>
  <c r="B252" i="6"/>
  <c r="E251" i="6"/>
  <c r="D251" i="6"/>
  <c r="B251" i="6"/>
  <c r="D250" i="6"/>
  <c r="B250" i="6"/>
  <c r="E248" i="6"/>
  <c r="E247" i="6"/>
  <c r="E246" i="6"/>
  <c r="E245" i="6"/>
  <c r="E244" i="6"/>
  <c r="E239" i="6"/>
  <c r="D239" i="6"/>
  <c r="B239" i="6"/>
  <c r="E238" i="6"/>
  <c r="D238" i="6"/>
  <c r="B238" i="6"/>
  <c r="E237" i="6"/>
  <c r="D237" i="6"/>
  <c r="B237" i="6"/>
  <c r="E236" i="6"/>
  <c r="D236" i="6"/>
  <c r="B236" i="6"/>
  <c r="D235" i="6"/>
  <c r="B235" i="6"/>
  <c r="E233" i="6"/>
  <c r="E229" i="6"/>
  <c r="E228" i="6"/>
  <c r="E224" i="6"/>
  <c r="D224" i="6"/>
  <c r="B224" i="6"/>
  <c r="E223" i="6"/>
  <c r="D223" i="6"/>
  <c r="B223" i="6"/>
  <c r="E222" i="6"/>
  <c r="D222" i="6"/>
  <c r="B222" i="6"/>
  <c r="E221" i="6"/>
  <c r="D221" i="6"/>
  <c r="B221" i="6"/>
  <c r="E220" i="6"/>
  <c r="D220" i="6"/>
  <c r="E219" i="6"/>
  <c r="B218" i="6"/>
  <c r="E214" i="6"/>
  <c r="E213" i="6"/>
  <c r="E209" i="6"/>
  <c r="D209" i="6"/>
  <c r="B209" i="6"/>
  <c r="E208" i="6"/>
  <c r="D208" i="6"/>
  <c r="B208" i="6"/>
  <c r="E207" i="6"/>
  <c r="D207" i="6"/>
  <c r="B207" i="6"/>
  <c r="E206" i="6"/>
  <c r="D206" i="6"/>
  <c r="B206" i="6"/>
  <c r="D205" i="6"/>
  <c r="B203" i="6"/>
  <c r="B202" i="6"/>
  <c r="E198" i="6"/>
  <c r="E194" i="6"/>
  <c r="D194" i="6"/>
  <c r="B194" i="6"/>
  <c r="E193" i="6"/>
  <c r="D193" i="6"/>
  <c r="B193" i="6"/>
  <c r="E192" i="6"/>
  <c r="D192" i="6"/>
  <c r="B192" i="6"/>
  <c r="E191" i="6"/>
  <c r="D191" i="6"/>
  <c r="B191" i="6"/>
  <c r="D190" i="6"/>
  <c r="B187" i="6"/>
  <c r="E179" i="6"/>
  <c r="D179" i="6"/>
  <c r="B179" i="6"/>
  <c r="E178" i="6"/>
  <c r="D178" i="6"/>
  <c r="B178" i="6"/>
  <c r="E177" i="6"/>
  <c r="D177" i="6"/>
  <c r="B177" i="6"/>
  <c r="E176" i="6"/>
  <c r="D176" i="6"/>
  <c r="B176" i="6"/>
  <c r="D175" i="6"/>
  <c r="B168" i="6"/>
  <c r="E164" i="6"/>
  <c r="D164" i="6"/>
  <c r="B164" i="6"/>
  <c r="E163" i="6"/>
  <c r="D163" i="6"/>
  <c r="B163" i="6"/>
  <c r="E162" i="6"/>
  <c r="D162" i="6"/>
  <c r="B162" i="6"/>
  <c r="E161" i="6"/>
  <c r="D161" i="6"/>
  <c r="B161" i="6"/>
  <c r="E160" i="6"/>
  <c r="D160" i="6"/>
  <c r="E158" i="6"/>
  <c r="C157" i="6"/>
  <c r="E156" i="6"/>
  <c r="B156" i="6"/>
  <c r="E154" i="6"/>
  <c r="E153" i="6"/>
  <c r="B153" i="6"/>
  <c r="E149" i="6"/>
  <c r="D149" i="6"/>
  <c r="B149" i="6"/>
  <c r="E148" i="6"/>
  <c r="D148" i="6"/>
  <c r="B148" i="6"/>
  <c r="E147" i="6"/>
  <c r="D147" i="6"/>
  <c r="B147" i="6"/>
  <c r="E146" i="6"/>
  <c r="D146" i="6"/>
  <c r="B146" i="6"/>
  <c r="D145" i="6"/>
  <c r="E144" i="6"/>
  <c r="B143" i="6"/>
  <c r="E140" i="6"/>
  <c r="B139" i="6"/>
  <c r="B138" i="6"/>
  <c r="E134" i="6"/>
  <c r="D134" i="6"/>
  <c r="B134" i="6"/>
  <c r="E133" i="6"/>
  <c r="D133" i="6"/>
  <c r="B133" i="6"/>
  <c r="E132" i="6"/>
  <c r="D132" i="6"/>
  <c r="B132" i="6"/>
  <c r="E131" i="6"/>
  <c r="D131" i="6"/>
  <c r="B131" i="6"/>
  <c r="D130" i="6"/>
  <c r="E128" i="6"/>
  <c r="B128" i="6"/>
  <c r="B127" i="6"/>
  <c r="E126" i="6"/>
  <c r="B126" i="6"/>
  <c r="E125" i="6"/>
  <c r="E124" i="6"/>
  <c r="B123" i="6"/>
  <c r="E119" i="6"/>
  <c r="D119" i="6"/>
  <c r="B119" i="6"/>
  <c r="E118" i="6"/>
  <c r="D118" i="6"/>
  <c r="B118" i="6"/>
  <c r="E117" i="6"/>
  <c r="D117" i="6"/>
  <c r="B117" i="6"/>
  <c r="E116" i="6"/>
  <c r="D116" i="6"/>
  <c r="B116" i="6"/>
  <c r="D115" i="6"/>
  <c r="B115" i="6"/>
  <c r="E114" i="6"/>
  <c r="E113" i="6"/>
  <c r="B113" i="6"/>
  <c r="E111" i="6"/>
  <c r="E110" i="6"/>
  <c r="B109" i="6"/>
  <c r="E104" i="6"/>
  <c r="D104" i="6"/>
  <c r="B104" i="6"/>
  <c r="E103" i="6"/>
  <c r="D103" i="6"/>
  <c r="B103" i="6"/>
  <c r="E102" i="6"/>
  <c r="D102" i="6"/>
  <c r="B102" i="6"/>
  <c r="E101" i="6"/>
  <c r="D101" i="6"/>
  <c r="B101" i="6"/>
  <c r="D100" i="6"/>
  <c r="B99" i="6"/>
  <c r="E98" i="6"/>
  <c r="B98" i="6"/>
  <c r="E89" i="6"/>
  <c r="D89" i="6"/>
  <c r="B89" i="6"/>
  <c r="E88" i="6"/>
  <c r="D88" i="6"/>
  <c r="B88" i="6"/>
  <c r="E87" i="6"/>
  <c r="D87" i="6"/>
  <c r="B87" i="6"/>
  <c r="E86" i="6"/>
  <c r="D86" i="6"/>
  <c r="B86" i="6"/>
  <c r="E85" i="6"/>
  <c r="D85" i="6"/>
  <c r="E83" i="6"/>
  <c r="E80" i="6"/>
  <c r="E74" i="6"/>
  <c r="D74" i="6"/>
  <c r="B74" i="6"/>
  <c r="E73" i="6"/>
  <c r="D73" i="6"/>
  <c r="B73" i="6"/>
  <c r="E72" i="6"/>
  <c r="D72" i="6"/>
  <c r="B72" i="6"/>
  <c r="E71" i="6"/>
  <c r="D71" i="6"/>
  <c r="B71" i="6"/>
  <c r="E70" i="6"/>
  <c r="D70" i="6"/>
  <c r="B68" i="6"/>
  <c r="B66" i="6"/>
  <c r="E59" i="6"/>
  <c r="D59" i="6"/>
  <c r="B59" i="6"/>
  <c r="E58" i="6"/>
  <c r="D58" i="6"/>
  <c r="B58" i="6"/>
  <c r="E57" i="6"/>
  <c r="D57" i="6"/>
  <c r="B57" i="6"/>
  <c r="E56" i="6"/>
  <c r="D56" i="6"/>
  <c r="B56" i="6"/>
  <c r="D55" i="6"/>
  <c r="B55" i="6"/>
  <c r="E54" i="6"/>
  <c r="B53" i="6"/>
  <c r="E51" i="6"/>
  <c r="B51" i="6"/>
  <c r="E44" i="6"/>
  <c r="D44" i="6"/>
  <c r="B44" i="6"/>
  <c r="E43" i="6"/>
  <c r="D43" i="6"/>
  <c r="B43" i="6"/>
  <c r="E42" i="6"/>
  <c r="D42" i="6"/>
  <c r="B42" i="6"/>
  <c r="E41" i="6"/>
  <c r="D41" i="6"/>
  <c r="B41" i="6"/>
  <c r="C37" i="6"/>
  <c r="E35" i="6"/>
  <c r="E29" i="6"/>
  <c r="D29" i="6"/>
  <c r="B29" i="6"/>
  <c r="E28" i="6"/>
  <c r="D28" i="6"/>
  <c r="B28" i="6"/>
  <c r="E27" i="6"/>
  <c r="D27" i="6"/>
  <c r="B27" i="6"/>
  <c r="E26" i="6"/>
  <c r="D26" i="6"/>
  <c r="B26" i="6"/>
  <c r="B25" i="6"/>
  <c r="B24" i="6"/>
  <c r="B23" i="6"/>
  <c r="B22" i="6"/>
  <c r="B21" i="6"/>
  <c r="B20" i="6"/>
  <c r="E19" i="6"/>
  <c r="B19" i="6"/>
  <c r="E18" i="6"/>
  <c r="B18" i="6"/>
  <c r="E14" i="6"/>
  <c r="D14" i="6"/>
  <c r="B14" i="6"/>
  <c r="E13" i="6"/>
  <c r="D13" i="6"/>
  <c r="B13" i="6"/>
  <c r="E12" i="6"/>
  <c r="D12" i="6"/>
  <c r="B12" i="6"/>
  <c r="E11" i="6"/>
  <c r="D11" i="6"/>
  <c r="B11" i="6"/>
  <c r="B10" i="6"/>
  <c r="E8" i="6"/>
  <c r="E7" i="6"/>
  <c r="B7" i="6"/>
  <c r="B3" i="6"/>
  <c r="N56" i="4"/>
  <c r="R50" i="4"/>
  <c r="AH43" i="4"/>
  <c r="D594" i="6" s="1"/>
  <c r="AD43" i="4"/>
  <c r="D593" i="6" s="1"/>
  <c r="Z43" i="4"/>
  <c r="D592" i="6" s="1"/>
  <c r="V43" i="4"/>
  <c r="D591" i="6" s="1"/>
  <c r="R43" i="4"/>
  <c r="D590" i="6" s="1"/>
  <c r="N43" i="4"/>
  <c r="D589" i="6" s="1"/>
  <c r="J43" i="4"/>
  <c r="D588" i="6" s="1"/>
  <c r="AH42" i="4"/>
  <c r="D579" i="6" s="1"/>
  <c r="AD42" i="4"/>
  <c r="D578" i="6" s="1"/>
  <c r="Z42" i="4"/>
  <c r="D577" i="6" s="1"/>
  <c r="V42" i="4"/>
  <c r="D576" i="6" s="1"/>
  <c r="R42" i="4"/>
  <c r="D575" i="6" s="1"/>
  <c r="N42" i="4"/>
  <c r="D574" i="6" s="1"/>
  <c r="J42" i="4"/>
  <c r="D573" i="6" s="1"/>
  <c r="AH41" i="4"/>
  <c r="D564" i="6" s="1"/>
  <c r="AD41" i="4"/>
  <c r="D563" i="6" s="1"/>
  <c r="Z41" i="4"/>
  <c r="D562" i="6" s="1"/>
  <c r="V41" i="4"/>
  <c r="D561" i="6" s="1"/>
  <c r="R41" i="4"/>
  <c r="D560" i="6" s="1"/>
  <c r="N41" i="4"/>
  <c r="D559" i="6" s="1"/>
  <c r="J41" i="4"/>
  <c r="D558" i="6" s="1"/>
  <c r="AH40" i="4"/>
  <c r="D549" i="6" s="1"/>
  <c r="AD40" i="4"/>
  <c r="D548" i="6" s="1"/>
  <c r="Z40" i="4"/>
  <c r="D547" i="6" s="1"/>
  <c r="V40" i="4"/>
  <c r="D546" i="6" s="1"/>
  <c r="R40" i="4"/>
  <c r="D545" i="6" s="1"/>
  <c r="N40" i="4"/>
  <c r="D544" i="6" s="1"/>
  <c r="J40" i="4"/>
  <c r="D543" i="6" s="1"/>
  <c r="AH39" i="4"/>
  <c r="D534" i="6" s="1"/>
  <c r="AD39" i="4"/>
  <c r="D533" i="6" s="1"/>
  <c r="Z39" i="4"/>
  <c r="D532" i="6" s="1"/>
  <c r="X39" i="4"/>
  <c r="B532" i="6" s="1"/>
  <c r="V39" i="4"/>
  <c r="D531" i="6" s="1"/>
  <c r="T39" i="4"/>
  <c r="B531" i="6" s="1"/>
  <c r="P39" i="4"/>
  <c r="N39" i="4"/>
  <c r="D529" i="6" s="1"/>
  <c r="L39" i="4"/>
  <c r="B529" i="6" s="1"/>
  <c r="J39" i="4"/>
  <c r="D528" i="6" s="1"/>
  <c r="AH38" i="4"/>
  <c r="D519" i="6" s="1"/>
  <c r="AD38" i="4"/>
  <c r="D518" i="6" s="1"/>
  <c r="X38" i="4"/>
  <c r="T38" i="4"/>
  <c r="B516" i="6" s="1"/>
  <c r="P38" i="4"/>
  <c r="R38" i="4" s="1"/>
  <c r="D515" i="6" s="1"/>
  <c r="L38" i="4"/>
  <c r="B514" i="6" s="1"/>
  <c r="J38" i="4"/>
  <c r="D513" i="6" s="1"/>
  <c r="AH37" i="4"/>
  <c r="D504" i="6" s="1"/>
  <c r="AD37" i="4"/>
  <c r="D503" i="6" s="1"/>
  <c r="X37" i="4"/>
  <c r="B502" i="6" s="1"/>
  <c r="V37" i="4"/>
  <c r="D501" i="6" s="1"/>
  <c r="T37" i="4"/>
  <c r="B501" i="6" s="1"/>
  <c r="R37" i="4"/>
  <c r="D500" i="6" s="1"/>
  <c r="P37" i="4"/>
  <c r="B500" i="6" s="1"/>
  <c r="L37" i="4"/>
  <c r="J37" i="4"/>
  <c r="D498" i="6" s="1"/>
  <c r="AH36" i="4"/>
  <c r="D489" i="6" s="1"/>
  <c r="AD36" i="4"/>
  <c r="D488" i="6" s="1"/>
  <c r="X36" i="4"/>
  <c r="B487" i="6" s="1"/>
  <c r="T36" i="4"/>
  <c r="P36" i="4"/>
  <c r="B485" i="6" s="1"/>
  <c r="L36" i="4"/>
  <c r="B484" i="6" s="1"/>
  <c r="J36" i="4"/>
  <c r="D483" i="6" s="1"/>
  <c r="AH35" i="4"/>
  <c r="D474" i="6" s="1"/>
  <c r="AB35" i="4"/>
  <c r="Z35" i="4"/>
  <c r="D472" i="6" s="1"/>
  <c r="V35" i="4"/>
  <c r="D471" i="6" s="1"/>
  <c r="R35" i="4"/>
  <c r="D470" i="6" s="1"/>
  <c r="L35" i="4"/>
  <c r="J35" i="4"/>
  <c r="D468" i="6" s="1"/>
  <c r="AH34" i="4"/>
  <c r="D459" i="6" s="1"/>
  <c r="AB34" i="4"/>
  <c r="Z34" i="4"/>
  <c r="D457" i="6" s="1"/>
  <c r="X34" i="4"/>
  <c r="B457" i="6" s="1"/>
  <c r="V34" i="4"/>
  <c r="D456" i="6" s="1"/>
  <c r="T34" i="4"/>
  <c r="B456" i="6" s="1"/>
  <c r="P34" i="4"/>
  <c r="B455" i="6" s="1"/>
  <c r="L34" i="4"/>
  <c r="B454" i="6" s="1"/>
  <c r="J34" i="4"/>
  <c r="D453" i="6" s="1"/>
  <c r="AH33" i="4"/>
  <c r="D444" i="6" s="1"/>
  <c r="AB33" i="4"/>
  <c r="Z33" i="4"/>
  <c r="D442" i="6" s="1"/>
  <c r="X33" i="4"/>
  <c r="B442" i="6" s="1"/>
  <c r="V33" i="4"/>
  <c r="D441" i="6" s="1"/>
  <c r="T33" i="4"/>
  <c r="B441" i="6" s="1"/>
  <c r="P33" i="4"/>
  <c r="B440" i="6" s="1"/>
  <c r="L33" i="4"/>
  <c r="B439" i="6" s="1"/>
  <c r="J33" i="4"/>
  <c r="D438" i="6" s="1"/>
  <c r="AH32" i="4"/>
  <c r="AD32" i="4"/>
  <c r="D428" i="6" s="1"/>
  <c r="Z32" i="4"/>
  <c r="D427" i="6" s="1"/>
  <c r="V32" i="4"/>
  <c r="D426" i="6" s="1"/>
  <c r="T32" i="4"/>
  <c r="B426" i="6" s="1"/>
  <c r="R32" i="4"/>
  <c r="D425" i="6" s="1"/>
  <c r="P32" i="4"/>
  <c r="B425" i="6" s="1"/>
  <c r="L32" i="4"/>
  <c r="B424" i="6" s="1"/>
  <c r="J32" i="4"/>
  <c r="D423" i="6" s="1"/>
  <c r="AH31" i="4"/>
  <c r="D414" i="6" s="1"/>
  <c r="AD31" i="4"/>
  <c r="D413" i="6" s="1"/>
  <c r="Z31" i="4"/>
  <c r="D412" i="6" s="1"/>
  <c r="T31" i="4"/>
  <c r="R31" i="4"/>
  <c r="D410" i="6" s="1"/>
  <c r="P31" i="4"/>
  <c r="B410" i="6" s="1"/>
  <c r="N31" i="4"/>
  <c r="D409" i="6" s="1"/>
  <c r="L31" i="4"/>
  <c r="B409" i="6" s="1"/>
  <c r="J31" i="4"/>
  <c r="D408" i="6" s="1"/>
  <c r="AJ30" i="4"/>
  <c r="B400" i="6" s="1"/>
  <c r="AH30" i="4"/>
  <c r="D399" i="6" s="1"/>
  <c r="AD30" i="4"/>
  <c r="D398" i="6" s="1"/>
  <c r="Z30" i="4"/>
  <c r="D397" i="6" s="1"/>
  <c r="V30" i="4"/>
  <c r="R30" i="4"/>
  <c r="D395" i="6" s="1"/>
  <c r="N30" i="4"/>
  <c r="D394" i="6" s="1"/>
  <c r="J30" i="4"/>
  <c r="D393" i="6" s="1"/>
  <c r="AH29" i="4"/>
  <c r="D384" i="6" s="1"/>
  <c r="AD29" i="4"/>
  <c r="D383" i="6" s="1"/>
  <c r="Z29" i="4"/>
  <c r="D382" i="6" s="1"/>
  <c r="V29" i="4"/>
  <c r="D381" i="6" s="1"/>
  <c r="R29" i="4"/>
  <c r="D380" i="6" s="1"/>
  <c r="N29" i="4"/>
  <c r="D379" i="6" s="1"/>
  <c r="J29" i="4"/>
  <c r="D378" i="6" s="1"/>
  <c r="AH28" i="4"/>
  <c r="D369" i="6" s="1"/>
  <c r="AD28" i="4"/>
  <c r="Z28" i="4"/>
  <c r="D367" i="6" s="1"/>
  <c r="V28" i="4"/>
  <c r="D366" i="6" s="1"/>
  <c r="R28" i="4"/>
  <c r="D365" i="6" s="1"/>
  <c r="N28" i="4"/>
  <c r="D364" i="6" s="1"/>
  <c r="J28" i="4"/>
  <c r="D363" i="6" s="1"/>
  <c r="AH27" i="4"/>
  <c r="D354" i="6" s="1"/>
  <c r="AD27" i="4"/>
  <c r="D353" i="6" s="1"/>
  <c r="Z27" i="4"/>
  <c r="D352" i="6" s="1"/>
  <c r="V27" i="4"/>
  <c r="D351" i="6" s="1"/>
  <c r="R27" i="4"/>
  <c r="D350" i="6" s="1"/>
  <c r="N27" i="4"/>
  <c r="D349" i="6" s="1"/>
  <c r="J27" i="4"/>
  <c r="AH26" i="4"/>
  <c r="D339" i="6" s="1"/>
  <c r="AD26" i="4"/>
  <c r="D338" i="6" s="1"/>
  <c r="Z26" i="4"/>
  <c r="D337" i="6" s="1"/>
  <c r="V26" i="4"/>
  <c r="D336" i="6" s="1"/>
  <c r="R26" i="4"/>
  <c r="D335" i="6" s="1"/>
  <c r="N26" i="4"/>
  <c r="D334" i="6" s="1"/>
  <c r="J26" i="4"/>
  <c r="D333" i="6" s="1"/>
  <c r="AH25" i="4"/>
  <c r="D324" i="6" s="1"/>
  <c r="AD25" i="4"/>
  <c r="D323" i="6" s="1"/>
  <c r="Z25" i="4"/>
  <c r="D322" i="6" s="1"/>
  <c r="V25" i="4"/>
  <c r="D321" i="6" s="1"/>
  <c r="R25" i="4"/>
  <c r="N25" i="4"/>
  <c r="D319" i="6" s="1"/>
  <c r="J25" i="4"/>
  <c r="D318" i="6" s="1"/>
  <c r="AH24" i="4"/>
  <c r="D309" i="6" s="1"/>
  <c r="AD24" i="4"/>
  <c r="D308" i="6" s="1"/>
  <c r="Z24" i="4"/>
  <c r="D307" i="6" s="1"/>
  <c r="V24" i="4"/>
  <c r="D306" i="6" s="1"/>
  <c r="R24" i="4"/>
  <c r="D305" i="6" s="1"/>
  <c r="N24" i="4"/>
  <c r="D304" i="6" s="1"/>
  <c r="J24" i="4"/>
  <c r="D303" i="6" s="1"/>
  <c r="BA23" i="4"/>
  <c r="C299" i="6" s="1"/>
  <c r="AW23" i="4"/>
  <c r="C298" i="6" s="1"/>
  <c r="AS23" i="4"/>
  <c r="C297" i="6" s="1"/>
  <c r="AO23" i="4"/>
  <c r="C296" i="6" s="1"/>
  <c r="AK23" i="4"/>
  <c r="C295" i="6" s="1"/>
  <c r="AH23" i="4"/>
  <c r="D294" i="6" s="1"/>
  <c r="AG23" i="4"/>
  <c r="C294" i="6" s="1"/>
  <c r="AD23" i="4"/>
  <c r="D293" i="6" s="1"/>
  <c r="AC23" i="4"/>
  <c r="C293" i="6" s="1"/>
  <c r="Y23" i="4"/>
  <c r="C292" i="6" s="1"/>
  <c r="V23" i="4"/>
  <c r="D291" i="6" s="1"/>
  <c r="U23" i="4"/>
  <c r="C291" i="6" s="1"/>
  <c r="R23" i="4"/>
  <c r="D290" i="6" s="1"/>
  <c r="Q23" i="4"/>
  <c r="C290" i="6" s="1"/>
  <c r="M23" i="4"/>
  <c r="J23" i="4"/>
  <c r="D288" i="6" s="1"/>
  <c r="I23" i="4"/>
  <c r="C288" i="6" s="1"/>
  <c r="BA22" i="4"/>
  <c r="C284" i="6" s="1"/>
  <c r="AW22" i="4"/>
  <c r="C283" i="6" s="1"/>
  <c r="AS22" i="4"/>
  <c r="C282" i="6" s="1"/>
  <c r="AO22" i="4"/>
  <c r="C281" i="6" s="1"/>
  <c r="AK22" i="4"/>
  <c r="C280" i="6" s="1"/>
  <c r="AJ22" i="4"/>
  <c r="B280" i="6" s="1"/>
  <c r="AH22" i="4"/>
  <c r="D279" i="6" s="1"/>
  <c r="AG22" i="4"/>
  <c r="C279" i="6" s="1"/>
  <c r="AF22" i="4"/>
  <c r="B279" i="6" s="1"/>
  <c r="AD22" i="4"/>
  <c r="D278" i="6" s="1"/>
  <c r="AC22" i="4"/>
  <c r="C278" i="6" s="1"/>
  <c r="AB22" i="4"/>
  <c r="B278" i="6" s="1"/>
  <c r="Z22" i="4"/>
  <c r="D277" i="6" s="1"/>
  <c r="Y22" i="4"/>
  <c r="C277" i="6" s="1"/>
  <c r="X22" i="4"/>
  <c r="B277" i="6" s="1"/>
  <c r="U22" i="4"/>
  <c r="C276" i="6" s="1"/>
  <c r="T22" i="4"/>
  <c r="R22" i="4"/>
  <c r="D275" i="6" s="1"/>
  <c r="Q22" i="4"/>
  <c r="C275" i="6" s="1"/>
  <c r="P22" i="4"/>
  <c r="B275" i="6" s="1"/>
  <c r="M22" i="4"/>
  <c r="C274" i="6" s="1"/>
  <c r="L22" i="4"/>
  <c r="B274" i="6" s="1"/>
  <c r="J22" i="4"/>
  <c r="D273" i="6" s="1"/>
  <c r="I22" i="4"/>
  <c r="C273" i="6" s="1"/>
  <c r="BA21" i="4"/>
  <c r="C269" i="6" s="1"/>
  <c r="AW21" i="4"/>
  <c r="C268" i="6" s="1"/>
  <c r="AS21" i="4"/>
  <c r="C267" i="6" s="1"/>
  <c r="AO21" i="4"/>
  <c r="C266" i="6" s="1"/>
  <c r="AK21" i="4"/>
  <c r="C265" i="6" s="1"/>
  <c r="AJ21" i="4"/>
  <c r="B265" i="6" s="1"/>
  <c r="AG21" i="4"/>
  <c r="C264" i="6" s="1"/>
  <c r="AF21" i="4"/>
  <c r="AC21" i="4"/>
  <c r="AB21" i="4"/>
  <c r="B263" i="6" s="1"/>
  <c r="Y21" i="4"/>
  <c r="C262" i="6" s="1"/>
  <c r="X21" i="4"/>
  <c r="U21" i="4"/>
  <c r="C261" i="6" s="1"/>
  <c r="T21" i="4"/>
  <c r="Q21" i="4"/>
  <c r="C260" i="6" s="1"/>
  <c r="P21" i="4"/>
  <c r="M21" i="4"/>
  <c r="L21" i="4"/>
  <c r="B259" i="6" s="1"/>
  <c r="I21" i="4"/>
  <c r="C258" i="6" s="1"/>
  <c r="H21" i="4"/>
  <c r="BA20" i="4"/>
  <c r="C254" i="6" s="1"/>
  <c r="AW20" i="4"/>
  <c r="C253" i="6" s="1"/>
  <c r="AS20" i="4"/>
  <c r="C252" i="6" s="1"/>
  <c r="AO20" i="4"/>
  <c r="C251" i="6" s="1"/>
  <c r="AK20" i="4"/>
  <c r="C250" i="6" s="1"/>
  <c r="AG20" i="4"/>
  <c r="C249" i="6" s="1"/>
  <c r="AF20" i="4"/>
  <c r="B249" i="6" s="1"/>
  <c r="AC20" i="4"/>
  <c r="C248" i="6" s="1"/>
  <c r="AB20" i="4"/>
  <c r="Y20" i="4"/>
  <c r="C247" i="6" s="1"/>
  <c r="X20" i="4"/>
  <c r="B247" i="6" s="1"/>
  <c r="U20" i="4"/>
  <c r="C246" i="6" s="1"/>
  <c r="T20" i="4"/>
  <c r="R20" i="4"/>
  <c r="D245" i="6" s="1"/>
  <c r="Q20" i="4"/>
  <c r="C245" i="6" s="1"/>
  <c r="P20" i="4"/>
  <c r="B245" i="6" s="1"/>
  <c r="M20" i="4"/>
  <c r="C244" i="6" s="1"/>
  <c r="L20" i="4"/>
  <c r="I20" i="4"/>
  <c r="C243" i="6" s="1"/>
  <c r="H20" i="4"/>
  <c r="B243" i="6" s="1"/>
  <c r="BA19" i="4"/>
  <c r="C239" i="6" s="1"/>
  <c r="AW19" i="4"/>
  <c r="C238" i="6" s="1"/>
  <c r="AS19" i="4"/>
  <c r="C237" i="6" s="1"/>
  <c r="AO19" i="4"/>
  <c r="C236" i="6" s="1"/>
  <c r="AK19" i="4"/>
  <c r="C235" i="6" s="1"/>
  <c r="AH19" i="4"/>
  <c r="D234" i="6" s="1"/>
  <c r="AG19" i="4"/>
  <c r="C234" i="6" s="1"/>
  <c r="AF19" i="4"/>
  <c r="B234" i="6" s="1"/>
  <c r="AC19" i="4"/>
  <c r="C233" i="6" s="1"/>
  <c r="AB19" i="4"/>
  <c r="B233" i="6" s="1"/>
  <c r="Z19" i="4"/>
  <c r="D232" i="6" s="1"/>
  <c r="Y19" i="4"/>
  <c r="C232" i="6" s="1"/>
  <c r="X19" i="4"/>
  <c r="B232" i="6" s="1"/>
  <c r="U19" i="4"/>
  <c r="C231" i="6" s="1"/>
  <c r="T19" i="4"/>
  <c r="R19" i="4"/>
  <c r="D230" i="6" s="1"/>
  <c r="Q19" i="4"/>
  <c r="C230" i="6" s="1"/>
  <c r="P19" i="4"/>
  <c r="B230" i="6" s="1"/>
  <c r="M19" i="4"/>
  <c r="C229" i="6" s="1"/>
  <c r="L19" i="4"/>
  <c r="B229" i="6" s="1"/>
  <c r="J19" i="4"/>
  <c r="D228" i="6" s="1"/>
  <c r="I19" i="4"/>
  <c r="C228" i="6" s="1"/>
  <c r="H19" i="4"/>
  <c r="B228" i="6" s="1"/>
  <c r="BA18" i="4"/>
  <c r="C224" i="6" s="1"/>
  <c r="AW18" i="4"/>
  <c r="C223" i="6" s="1"/>
  <c r="AS18" i="4"/>
  <c r="C222" i="6" s="1"/>
  <c r="AO18" i="4"/>
  <c r="C221" i="6" s="1"/>
  <c r="AK18" i="4"/>
  <c r="C220" i="6" s="1"/>
  <c r="AJ18" i="4"/>
  <c r="B220" i="6" s="1"/>
  <c r="AG18" i="4"/>
  <c r="C219" i="6" s="1"/>
  <c r="AF18" i="4"/>
  <c r="B219" i="6" s="1"/>
  <c r="AD18" i="4"/>
  <c r="D218" i="6" s="1"/>
  <c r="AC18" i="4"/>
  <c r="C218" i="6" s="1"/>
  <c r="Y18" i="4"/>
  <c r="C217" i="6" s="1"/>
  <c r="X18" i="4"/>
  <c r="U18" i="4"/>
  <c r="T18" i="4"/>
  <c r="B216" i="6" s="1"/>
  <c r="Q18" i="4"/>
  <c r="C215" i="6" s="1"/>
  <c r="P18" i="4"/>
  <c r="N18" i="4"/>
  <c r="D214" i="6" s="1"/>
  <c r="M18" i="4"/>
  <c r="C214" i="6" s="1"/>
  <c r="L18" i="4"/>
  <c r="B214" i="6" s="1"/>
  <c r="I18" i="4"/>
  <c r="C213" i="6" s="1"/>
  <c r="H18" i="4"/>
  <c r="BA17" i="4"/>
  <c r="C209" i="6" s="1"/>
  <c r="AW17" i="4"/>
  <c r="C208" i="6" s="1"/>
  <c r="AS17" i="4"/>
  <c r="C207" i="6" s="1"/>
  <c r="AO17" i="4"/>
  <c r="C206" i="6" s="1"/>
  <c r="AK17" i="4"/>
  <c r="C205" i="6" s="1"/>
  <c r="AJ17" i="4"/>
  <c r="B205" i="6" s="1"/>
  <c r="AG17" i="4"/>
  <c r="C204" i="6" s="1"/>
  <c r="AF17" i="4"/>
  <c r="B204" i="6" s="1"/>
  <c r="AC17" i="4"/>
  <c r="Y17" i="4"/>
  <c r="C202" i="6" s="1"/>
  <c r="V17" i="4"/>
  <c r="D201" i="6" s="1"/>
  <c r="U17" i="4"/>
  <c r="C201" i="6" s="1"/>
  <c r="T17" i="4"/>
  <c r="B201" i="6" s="1"/>
  <c r="R17" i="4"/>
  <c r="D200" i="6" s="1"/>
  <c r="Q17" i="4"/>
  <c r="C200" i="6" s="1"/>
  <c r="P17" i="4"/>
  <c r="B200" i="6" s="1"/>
  <c r="N17" i="4"/>
  <c r="D199" i="6" s="1"/>
  <c r="M17" i="4"/>
  <c r="C199" i="6" s="1"/>
  <c r="L17" i="4"/>
  <c r="B199" i="6" s="1"/>
  <c r="I17" i="4"/>
  <c r="C198" i="6" s="1"/>
  <c r="H17" i="4"/>
  <c r="B198" i="6" s="1"/>
  <c r="F17" i="4"/>
  <c r="BA16" i="4"/>
  <c r="C194" i="6" s="1"/>
  <c r="AW16" i="4"/>
  <c r="C193" i="6" s="1"/>
  <c r="AS16" i="4"/>
  <c r="C192" i="6" s="1"/>
  <c r="AO16" i="4"/>
  <c r="C191" i="6" s="1"/>
  <c r="AK16" i="4"/>
  <c r="C190" i="6" s="1"/>
  <c r="AJ16" i="4"/>
  <c r="B190" i="6" s="1"/>
  <c r="AG16" i="4"/>
  <c r="C189" i="6" s="1"/>
  <c r="AF16" i="4"/>
  <c r="AC16" i="4"/>
  <c r="C188" i="6" s="1"/>
  <c r="AB16" i="4"/>
  <c r="B188" i="6" s="1"/>
  <c r="Y16" i="4"/>
  <c r="C187" i="6" s="1"/>
  <c r="U16" i="4"/>
  <c r="C186" i="6" s="1"/>
  <c r="T16" i="4"/>
  <c r="R16" i="4"/>
  <c r="D185" i="6" s="1"/>
  <c r="Q16" i="4"/>
  <c r="C185" i="6" s="1"/>
  <c r="P16" i="4"/>
  <c r="B185" i="6" s="1"/>
  <c r="M16" i="4"/>
  <c r="C184" i="6" s="1"/>
  <c r="L16" i="4"/>
  <c r="B184" i="6" s="1"/>
  <c r="J16" i="4"/>
  <c r="D183" i="6" s="1"/>
  <c r="I16" i="4"/>
  <c r="C183" i="6" s="1"/>
  <c r="H16" i="4"/>
  <c r="B183" i="6" s="1"/>
  <c r="BA15" i="4"/>
  <c r="C179" i="6" s="1"/>
  <c r="AW15" i="4"/>
  <c r="C178" i="6" s="1"/>
  <c r="AS15" i="4"/>
  <c r="C177" i="6" s="1"/>
  <c r="AO15" i="4"/>
  <c r="C176" i="6" s="1"/>
  <c r="AK15" i="4"/>
  <c r="C175" i="6" s="1"/>
  <c r="AJ15" i="4"/>
  <c r="B175" i="6" s="1"/>
  <c r="AG15" i="4"/>
  <c r="C174" i="6" s="1"/>
  <c r="AF15" i="4"/>
  <c r="B174" i="6" s="1"/>
  <c r="AD15" i="4"/>
  <c r="D173" i="6" s="1"/>
  <c r="AC15" i="4"/>
  <c r="C173" i="6" s="1"/>
  <c r="AB15" i="4"/>
  <c r="B173" i="6" s="1"/>
  <c r="Y15" i="4"/>
  <c r="C172" i="6" s="1"/>
  <c r="X15" i="4"/>
  <c r="V15" i="4"/>
  <c r="D171" i="6" s="1"/>
  <c r="U15" i="4"/>
  <c r="C171" i="6" s="1"/>
  <c r="T15" i="4"/>
  <c r="B171" i="6" s="1"/>
  <c r="Q15" i="4"/>
  <c r="C170" i="6" s="1"/>
  <c r="P15" i="4"/>
  <c r="B170" i="6" s="1"/>
  <c r="N15" i="4"/>
  <c r="D169" i="6" s="1"/>
  <c r="M15" i="4"/>
  <c r="C169" i="6" s="1"/>
  <c r="L15" i="4"/>
  <c r="B169" i="6" s="1"/>
  <c r="I15" i="4"/>
  <c r="C168" i="6" s="1"/>
  <c r="F15" i="4"/>
  <c r="J62" i="4" s="1"/>
  <c r="BA14" i="4"/>
  <c r="C164" i="6" s="1"/>
  <c r="AW14" i="4"/>
  <c r="C163" i="6" s="1"/>
  <c r="AS14" i="4"/>
  <c r="C162" i="6" s="1"/>
  <c r="AO14" i="4"/>
  <c r="C161" i="6" s="1"/>
  <c r="AK14" i="4"/>
  <c r="C160" i="6" s="1"/>
  <c r="AJ14" i="4"/>
  <c r="B160" i="6" s="1"/>
  <c r="AH14" i="4"/>
  <c r="D159" i="6" s="1"/>
  <c r="AG14" i="4"/>
  <c r="C159" i="6" s="1"/>
  <c r="AF14" i="4"/>
  <c r="B159" i="6" s="1"/>
  <c r="AC14" i="4"/>
  <c r="C158" i="6" s="1"/>
  <c r="AB14" i="4"/>
  <c r="Z14" i="4"/>
  <c r="D157" i="6" s="1"/>
  <c r="Y14" i="4"/>
  <c r="X14" i="4"/>
  <c r="B157" i="6" s="1"/>
  <c r="V14" i="4"/>
  <c r="D156" i="6" s="1"/>
  <c r="U14" i="4"/>
  <c r="C156" i="6" s="1"/>
  <c r="Q14" i="4"/>
  <c r="C155" i="6" s="1"/>
  <c r="P14" i="4"/>
  <c r="B155" i="6" s="1"/>
  <c r="M14" i="4"/>
  <c r="C154" i="6" s="1"/>
  <c r="L14" i="4"/>
  <c r="I14" i="4"/>
  <c r="H14" i="4"/>
  <c r="BA13" i="4"/>
  <c r="C149" i="6" s="1"/>
  <c r="AW13" i="4"/>
  <c r="C148" i="6" s="1"/>
  <c r="AS13" i="4"/>
  <c r="C147" i="6" s="1"/>
  <c r="AO13" i="4"/>
  <c r="C146" i="6" s="1"/>
  <c r="AK13" i="4"/>
  <c r="C145" i="6" s="1"/>
  <c r="AJ13" i="4"/>
  <c r="B145" i="6" s="1"/>
  <c r="AG13" i="4"/>
  <c r="C144" i="6" s="1"/>
  <c r="AF13" i="4"/>
  <c r="AC13" i="4"/>
  <c r="C143" i="6" s="1"/>
  <c r="AB13" i="4"/>
  <c r="Y13" i="4"/>
  <c r="C142" i="6" s="1"/>
  <c r="X13" i="4"/>
  <c r="U13" i="4"/>
  <c r="C141" i="6" s="1"/>
  <c r="T13" i="4"/>
  <c r="B141" i="6" s="1"/>
  <c r="Q13" i="4"/>
  <c r="C140" i="6" s="1"/>
  <c r="P13" i="4"/>
  <c r="N13" i="4"/>
  <c r="D139" i="6" s="1"/>
  <c r="M13" i="4"/>
  <c r="C139" i="6" s="1"/>
  <c r="L13" i="4"/>
  <c r="I13" i="4"/>
  <c r="BA12" i="4"/>
  <c r="C134" i="6" s="1"/>
  <c r="AW12" i="4"/>
  <c r="C133" i="6" s="1"/>
  <c r="AS12" i="4"/>
  <c r="C132" i="6" s="1"/>
  <c r="AO12" i="4"/>
  <c r="C131" i="6" s="1"/>
  <c r="AK12" i="4"/>
  <c r="C130" i="6" s="1"/>
  <c r="AJ12" i="4"/>
  <c r="B130" i="6" s="1"/>
  <c r="AG12" i="4"/>
  <c r="C129" i="6" s="1"/>
  <c r="AF12" i="4"/>
  <c r="B129" i="6" s="1"/>
  <c r="AC12" i="4"/>
  <c r="C128" i="6" s="1"/>
  <c r="Y12" i="4"/>
  <c r="C127" i="6" s="1"/>
  <c r="U12" i="4"/>
  <c r="C126" i="6" s="1"/>
  <c r="Q12" i="4"/>
  <c r="C125" i="6" s="1"/>
  <c r="P12" i="4"/>
  <c r="M12" i="4"/>
  <c r="C124" i="6" s="1"/>
  <c r="L12" i="4"/>
  <c r="B124" i="6" s="1"/>
  <c r="I12" i="4"/>
  <c r="C123" i="6" s="1"/>
  <c r="BA11" i="4"/>
  <c r="C119" i="6" s="1"/>
  <c r="AW11" i="4"/>
  <c r="C118" i="6" s="1"/>
  <c r="AS11" i="4"/>
  <c r="C117" i="6" s="1"/>
  <c r="AO11" i="4"/>
  <c r="C116" i="6" s="1"/>
  <c r="AK11" i="4"/>
  <c r="C115" i="6" s="1"/>
  <c r="AG11" i="4"/>
  <c r="C114" i="6" s="1"/>
  <c r="AF11" i="4"/>
  <c r="AC11" i="4"/>
  <c r="C113" i="6" s="1"/>
  <c r="AB11" i="4"/>
  <c r="Y11" i="4"/>
  <c r="C112" i="6" s="1"/>
  <c r="X11" i="4"/>
  <c r="V11" i="4"/>
  <c r="D111" i="6" s="1"/>
  <c r="U11" i="4"/>
  <c r="C111" i="6" s="1"/>
  <c r="T11" i="4"/>
  <c r="B111" i="6" s="1"/>
  <c r="Q11" i="4"/>
  <c r="C110" i="6" s="1"/>
  <c r="P11" i="4"/>
  <c r="N11" i="4"/>
  <c r="D109" i="6" s="1"/>
  <c r="M11" i="4"/>
  <c r="C109" i="6" s="1"/>
  <c r="L11" i="4"/>
  <c r="I11" i="4"/>
  <c r="C108" i="6" s="1"/>
  <c r="H11" i="4"/>
  <c r="BA10" i="4"/>
  <c r="C104" i="6" s="1"/>
  <c r="AW10" i="4"/>
  <c r="C103" i="6" s="1"/>
  <c r="AS10" i="4"/>
  <c r="C102" i="6" s="1"/>
  <c r="AO10" i="4"/>
  <c r="C101" i="6" s="1"/>
  <c r="AK10" i="4"/>
  <c r="C100" i="6" s="1"/>
  <c r="AJ10" i="4"/>
  <c r="B100" i="6" s="1"/>
  <c r="AH10" i="4"/>
  <c r="D99" i="6" s="1"/>
  <c r="AG10" i="4"/>
  <c r="C99" i="6" s="1"/>
  <c r="AF10" i="4"/>
  <c r="AC10" i="4"/>
  <c r="Y10" i="4"/>
  <c r="C97" i="6" s="1"/>
  <c r="X10" i="4"/>
  <c r="B97" i="6" s="1"/>
  <c r="U10" i="4"/>
  <c r="C96" i="6" s="1"/>
  <c r="T10" i="4"/>
  <c r="Q10" i="4"/>
  <c r="C95" i="6" s="1"/>
  <c r="P10" i="4"/>
  <c r="B95" i="6" s="1"/>
  <c r="M10" i="4"/>
  <c r="C94" i="6" s="1"/>
  <c r="L10" i="4"/>
  <c r="L47" i="4" s="1"/>
  <c r="I10" i="4"/>
  <c r="C93" i="6" s="1"/>
  <c r="H10" i="4"/>
  <c r="B93" i="6" s="1"/>
  <c r="BA9" i="4"/>
  <c r="C89" i="6" s="1"/>
  <c r="AW9" i="4"/>
  <c r="C88" i="6" s="1"/>
  <c r="AS9" i="4"/>
  <c r="C87" i="6" s="1"/>
  <c r="AO9" i="4"/>
  <c r="C86" i="6" s="1"/>
  <c r="AK9" i="4"/>
  <c r="C85" i="6" s="1"/>
  <c r="AJ9" i="4"/>
  <c r="B85" i="6" s="1"/>
  <c r="AG9" i="4"/>
  <c r="C84" i="6" s="1"/>
  <c r="AF9" i="4"/>
  <c r="AD9" i="4"/>
  <c r="D83" i="6" s="1"/>
  <c r="AC9" i="4"/>
  <c r="C83" i="6" s="1"/>
  <c r="AB9" i="4"/>
  <c r="B83" i="6" s="1"/>
  <c r="Y9" i="4"/>
  <c r="C82" i="6" s="1"/>
  <c r="X9" i="4"/>
  <c r="U9" i="4"/>
  <c r="C81" i="6" s="1"/>
  <c r="T9" i="4"/>
  <c r="B81" i="6" s="1"/>
  <c r="Q9" i="4"/>
  <c r="C80" i="6" s="1"/>
  <c r="P9" i="4"/>
  <c r="M9" i="4"/>
  <c r="C79" i="6" s="1"/>
  <c r="L9" i="4"/>
  <c r="I9" i="4"/>
  <c r="C78" i="6" s="1"/>
  <c r="H9" i="4"/>
  <c r="BA8" i="4"/>
  <c r="C74" i="6" s="1"/>
  <c r="AW8" i="4"/>
  <c r="C73" i="6" s="1"/>
  <c r="AS8" i="4"/>
  <c r="C72" i="6" s="1"/>
  <c r="AO8" i="4"/>
  <c r="C71" i="6" s="1"/>
  <c r="AK8" i="4"/>
  <c r="C70" i="6" s="1"/>
  <c r="AJ8" i="4"/>
  <c r="B70" i="6" s="1"/>
  <c r="AG8" i="4"/>
  <c r="C69" i="6" s="1"/>
  <c r="AF8" i="4"/>
  <c r="AC8" i="4"/>
  <c r="C68" i="6" s="1"/>
  <c r="Y8" i="4"/>
  <c r="C67" i="6" s="1"/>
  <c r="X8" i="4"/>
  <c r="B67" i="6" s="1"/>
  <c r="V8" i="4"/>
  <c r="D66" i="6" s="1"/>
  <c r="U8" i="4"/>
  <c r="C66" i="6" s="1"/>
  <c r="Q8" i="4"/>
  <c r="C65" i="6" s="1"/>
  <c r="P8" i="4"/>
  <c r="M8" i="4"/>
  <c r="C64" i="6" s="1"/>
  <c r="L8" i="4"/>
  <c r="B64" i="6" s="1"/>
  <c r="I8" i="4"/>
  <c r="C63" i="6" s="1"/>
  <c r="H8" i="4"/>
  <c r="BA7" i="4"/>
  <c r="C59" i="6" s="1"/>
  <c r="AW7" i="4"/>
  <c r="C58" i="6" s="1"/>
  <c r="AS7" i="4"/>
  <c r="C57" i="6" s="1"/>
  <c r="AO7" i="4"/>
  <c r="C56" i="6" s="1"/>
  <c r="AK7" i="4"/>
  <c r="C55" i="6" s="1"/>
  <c r="AG7" i="4"/>
  <c r="C54" i="6" s="1"/>
  <c r="AF7" i="4"/>
  <c r="B54" i="6" s="1"/>
  <c r="AC7" i="4"/>
  <c r="C53" i="6" s="1"/>
  <c r="Y7" i="4"/>
  <c r="C52" i="6" s="1"/>
  <c r="X7" i="4"/>
  <c r="V7" i="4"/>
  <c r="D51" i="6" s="1"/>
  <c r="U7" i="4"/>
  <c r="C51" i="6" s="1"/>
  <c r="Q7" i="4"/>
  <c r="C50" i="6" s="1"/>
  <c r="P7" i="4"/>
  <c r="M7" i="4"/>
  <c r="C49" i="6" s="1"/>
  <c r="L7" i="4"/>
  <c r="B49" i="6" s="1"/>
  <c r="I7" i="4"/>
  <c r="C48" i="6" s="1"/>
  <c r="H7" i="4"/>
  <c r="BA6" i="4"/>
  <c r="C44" i="6" s="1"/>
  <c r="AW6" i="4"/>
  <c r="C43" i="6" s="1"/>
  <c r="AS6" i="4"/>
  <c r="C42" i="6" s="1"/>
  <c r="AO6" i="4"/>
  <c r="C41" i="6" s="1"/>
  <c r="AK6" i="4"/>
  <c r="C40" i="6" s="1"/>
  <c r="AJ6" i="4"/>
  <c r="B40" i="6" s="1"/>
  <c r="AH6" i="4"/>
  <c r="D39" i="6" s="1"/>
  <c r="AG6" i="4"/>
  <c r="C39" i="6" s="1"/>
  <c r="AF6" i="4"/>
  <c r="B39" i="6" s="1"/>
  <c r="AC6" i="4"/>
  <c r="C38" i="6" s="1"/>
  <c r="AB6" i="4"/>
  <c r="B38" i="6" s="1"/>
  <c r="Z6" i="4"/>
  <c r="D37" i="6" s="1"/>
  <c r="Y6" i="4"/>
  <c r="X6" i="4"/>
  <c r="U6" i="4"/>
  <c r="C36" i="6" s="1"/>
  <c r="T6" i="4"/>
  <c r="B36" i="6" s="1"/>
  <c r="R6" i="4"/>
  <c r="D35" i="6" s="1"/>
  <c r="Q6" i="4"/>
  <c r="C35" i="6" s="1"/>
  <c r="P6" i="4"/>
  <c r="B35" i="6" s="1"/>
  <c r="M6" i="4"/>
  <c r="C34" i="6" s="1"/>
  <c r="L6" i="4"/>
  <c r="B34" i="6" s="1"/>
  <c r="J6" i="4"/>
  <c r="D33" i="6" s="1"/>
  <c r="I6" i="4"/>
  <c r="C33" i="6" s="1"/>
  <c r="H6" i="4"/>
  <c r="B33" i="6" s="1"/>
  <c r="BA5" i="4"/>
  <c r="C29" i="6" s="1"/>
  <c r="AW5" i="4"/>
  <c r="C28" i="6" s="1"/>
  <c r="AS5" i="4"/>
  <c r="AO5" i="4"/>
  <c r="C26" i="6" s="1"/>
  <c r="AK5" i="4"/>
  <c r="C25" i="6" s="1"/>
  <c r="AH5" i="4"/>
  <c r="D24" i="6" s="1"/>
  <c r="AG5" i="4"/>
  <c r="C24" i="6" s="1"/>
  <c r="AC5" i="4"/>
  <c r="C23" i="6" s="1"/>
  <c r="Y5" i="4"/>
  <c r="V5" i="4"/>
  <c r="D21" i="6" s="1"/>
  <c r="U5" i="4"/>
  <c r="C21" i="6" s="1"/>
  <c r="Q5" i="4"/>
  <c r="C20" i="6" s="1"/>
  <c r="M5" i="4"/>
  <c r="C19" i="6" s="1"/>
  <c r="I5" i="4"/>
  <c r="C18" i="6" s="1"/>
  <c r="BA4" i="4"/>
  <c r="AW4" i="4"/>
  <c r="AS4" i="4"/>
  <c r="C12" i="6" s="1"/>
  <c r="AO4" i="4"/>
  <c r="AK4" i="4"/>
  <c r="AG4" i="4"/>
  <c r="AF4" i="4"/>
  <c r="B9" i="6" s="1"/>
  <c r="AC4" i="4"/>
  <c r="AB4" i="4"/>
  <c r="Y4" i="4"/>
  <c r="Z4" i="4" s="1"/>
  <c r="D7" i="6" s="1"/>
  <c r="X4" i="4"/>
  <c r="U4" i="4"/>
  <c r="T4" i="4"/>
  <c r="R4" i="4"/>
  <c r="D5" i="6" s="1"/>
  <c r="Q4" i="4"/>
  <c r="P4" i="4"/>
  <c r="B5" i="6" s="1"/>
  <c r="M4" i="4"/>
  <c r="C4" i="6" s="1"/>
  <c r="L4" i="4"/>
  <c r="I4" i="4"/>
  <c r="H4" i="4"/>
  <c r="Z49" i="5"/>
  <c r="BB53" i="4" s="1"/>
  <c r="X49" i="5"/>
  <c r="AX53" i="4" s="1"/>
  <c r="V49" i="5"/>
  <c r="AT53" i="4" s="1"/>
  <c r="T49" i="5"/>
  <c r="AP53" i="4" s="1"/>
  <c r="P46" i="5"/>
  <c r="AB46" i="5" s="1"/>
  <c r="N46" i="5"/>
  <c r="AB45" i="5"/>
  <c r="P45" i="5"/>
  <c r="AB44" i="5"/>
  <c r="AB43" i="5"/>
  <c r="AB42" i="5"/>
  <c r="AB41" i="5"/>
  <c r="AB40" i="5"/>
  <c r="AB39" i="5"/>
  <c r="AB38" i="5"/>
  <c r="AB37" i="5"/>
  <c r="AB36" i="5"/>
  <c r="AB35" i="5"/>
  <c r="AB34" i="5"/>
  <c r="AB33" i="5"/>
  <c r="AB32" i="5"/>
  <c r="AB31" i="5"/>
  <c r="N31" i="5"/>
  <c r="AB30" i="5"/>
  <c r="P29" i="5"/>
  <c r="E384" i="6" s="1"/>
  <c r="D29" i="5"/>
  <c r="E378" i="6" s="1"/>
  <c r="AB28" i="5"/>
  <c r="AB27" i="5"/>
  <c r="AB26" i="5"/>
  <c r="AB25" i="5"/>
  <c r="AB24" i="5"/>
  <c r="R23" i="5"/>
  <c r="E295" i="6" s="1"/>
  <c r="P23" i="5"/>
  <c r="E294" i="6" s="1"/>
  <c r="N23" i="5"/>
  <c r="E293" i="6" s="1"/>
  <c r="L23" i="5"/>
  <c r="E292" i="6" s="1"/>
  <c r="J23" i="5"/>
  <c r="E291" i="6" s="1"/>
  <c r="D23" i="5"/>
  <c r="R22" i="5"/>
  <c r="E280" i="6" s="1"/>
  <c r="N22" i="5"/>
  <c r="E278" i="6" s="1"/>
  <c r="L22" i="5"/>
  <c r="E277" i="6" s="1"/>
  <c r="J22" i="5"/>
  <c r="E276" i="6" s="1"/>
  <c r="H22" i="5"/>
  <c r="E275" i="6" s="1"/>
  <c r="F22" i="5"/>
  <c r="AB21" i="5"/>
  <c r="N21" i="5"/>
  <c r="E263" i="6" s="1"/>
  <c r="L21" i="5"/>
  <c r="E262" i="6" s="1"/>
  <c r="J21" i="5"/>
  <c r="E261" i="6" s="1"/>
  <c r="F21" i="5"/>
  <c r="E259" i="6" s="1"/>
  <c r="R20" i="5"/>
  <c r="E250" i="6" s="1"/>
  <c r="P20" i="5"/>
  <c r="E249" i="6" s="1"/>
  <c r="D20" i="5"/>
  <c r="E243" i="6" s="1"/>
  <c r="R19" i="5"/>
  <c r="E235" i="6" s="1"/>
  <c r="P19" i="5"/>
  <c r="E234" i="6" s="1"/>
  <c r="L19" i="5"/>
  <c r="E232" i="6" s="1"/>
  <c r="J19" i="5"/>
  <c r="E231" i="6" s="1"/>
  <c r="H19" i="5"/>
  <c r="N18" i="5"/>
  <c r="E218" i="6" s="1"/>
  <c r="L18" i="5"/>
  <c r="E217" i="6" s="1"/>
  <c r="J18" i="5"/>
  <c r="E216" i="6" s="1"/>
  <c r="H18" i="5"/>
  <c r="E215" i="6" s="1"/>
  <c r="R17" i="5"/>
  <c r="E205" i="6" s="1"/>
  <c r="P17" i="5"/>
  <c r="E204" i="6" s="1"/>
  <c r="N17" i="5"/>
  <c r="E203" i="6" s="1"/>
  <c r="L17" i="5"/>
  <c r="E202" i="6" s="1"/>
  <c r="J17" i="5"/>
  <c r="H17" i="5"/>
  <c r="E200" i="6" s="1"/>
  <c r="F17" i="5"/>
  <c r="E199" i="6" s="1"/>
  <c r="R16" i="5"/>
  <c r="E190" i="6" s="1"/>
  <c r="P16" i="5"/>
  <c r="E189" i="6" s="1"/>
  <c r="N16" i="5"/>
  <c r="E188" i="6" s="1"/>
  <c r="L16" i="5"/>
  <c r="E187" i="6" s="1"/>
  <c r="J16" i="5"/>
  <c r="E186" i="6" s="1"/>
  <c r="H16" i="5"/>
  <c r="E185" i="6" s="1"/>
  <c r="F16" i="5"/>
  <c r="E184" i="6" s="1"/>
  <c r="D16" i="5"/>
  <c r="AB15" i="5"/>
  <c r="R15" i="5"/>
  <c r="E175" i="6" s="1"/>
  <c r="P15" i="5"/>
  <c r="E174" i="6" s="1"/>
  <c r="N15" i="5"/>
  <c r="E173" i="6" s="1"/>
  <c r="L15" i="5"/>
  <c r="E172" i="6" s="1"/>
  <c r="J15" i="5"/>
  <c r="E171" i="6" s="1"/>
  <c r="H15" i="5"/>
  <c r="E170" i="6" s="1"/>
  <c r="F15" i="5"/>
  <c r="E169" i="6" s="1"/>
  <c r="D15" i="5"/>
  <c r="E168" i="6" s="1"/>
  <c r="P14" i="5"/>
  <c r="E159" i="6" s="1"/>
  <c r="L14" i="5"/>
  <c r="E157" i="6" s="1"/>
  <c r="H14" i="5"/>
  <c r="AB13" i="5"/>
  <c r="R13" i="5"/>
  <c r="E145" i="6" s="1"/>
  <c r="N13" i="5"/>
  <c r="E143" i="6" s="1"/>
  <c r="L13" i="5"/>
  <c r="E142" i="6" s="1"/>
  <c r="J13" i="5"/>
  <c r="E141" i="6" s="1"/>
  <c r="F13" i="5"/>
  <c r="E139" i="6" s="1"/>
  <c r="D13" i="5"/>
  <c r="E138" i="6" s="1"/>
  <c r="R12" i="5"/>
  <c r="E130" i="6" s="1"/>
  <c r="P12" i="5"/>
  <c r="E129" i="6" s="1"/>
  <c r="L12" i="5"/>
  <c r="E127" i="6" s="1"/>
  <c r="D12" i="5"/>
  <c r="R11" i="5"/>
  <c r="E115" i="6" s="1"/>
  <c r="L11" i="5"/>
  <c r="E112" i="6" s="1"/>
  <c r="F11" i="5"/>
  <c r="E109" i="6" s="1"/>
  <c r="D11" i="5"/>
  <c r="E108" i="6" s="1"/>
  <c r="R10" i="5"/>
  <c r="E100" i="6" s="1"/>
  <c r="P10" i="5"/>
  <c r="E99" i="6" s="1"/>
  <c r="L10" i="5"/>
  <c r="E97" i="6" s="1"/>
  <c r="J10" i="5"/>
  <c r="E96" i="6" s="1"/>
  <c r="H10" i="5"/>
  <c r="E95" i="6" s="1"/>
  <c r="F10" i="5"/>
  <c r="E94" i="6" s="1"/>
  <c r="D10" i="5"/>
  <c r="AB9" i="5"/>
  <c r="P9" i="5"/>
  <c r="E84" i="6" s="1"/>
  <c r="L9" i="5"/>
  <c r="E82" i="6" s="1"/>
  <c r="J9" i="5"/>
  <c r="E81" i="6" s="1"/>
  <c r="F9" i="5"/>
  <c r="E79" i="6" s="1"/>
  <c r="D9" i="5"/>
  <c r="E78" i="6" s="1"/>
  <c r="P8" i="5"/>
  <c r="E69" i="6" s="1"/>
  <c r="N8" i="5"/>
  <c r="E68" i="6" s="1"/>
  <c r="L8" i="5"/>
  <c r="E67" i="6" s="1"/>
  <c r="J8" i="5"/>
  <c r="E66" i="6" s="1"/>
  <c r="H8" i="5"/>
  <c r="E65" i="6" s="1"/>
  <c r="F8" i="5"/>
  <c r="E64" i="6" s="1"/>
  <c r="D8" i="5"/>
  <c r="R7" i="5"/>
  <c r="E55" i="6" s="1"/>
  <c r="N7" i="5"/>
  <c r="E53" i="6" s="1"/>
  <c r="L7" i="5"/>
  <c r="E52" i="6" s="1"/>
  <c r="H7" i="5"/>
  <c r="E50" i="6" s="1"/>
  <c r="F7" i="5"/>
  <c r="E49" i="6" s="1"/>
  <c r="D7" i="5"/>
  <c r="E48" i="6" s="1"/>
  <c r="R6" i="5"/>
  <c r="E40" i="6" s="1"/>
  <c r="P6" i="5"/>
  <c r="E39" i="6" s="1"/>
  <c r="N6" i="5"/>
  <c r="E38" i="6" s="1"/>
  <c r="L6" i="5"/>
  <c r="E37" i="6" s="1"/>
  <c r="J6" i="5"/>
  <c r="E36" i="6" s="1"/>
  <c r="F6" i="5"/>
  <c r="E34" i="6" s="1"/>
  <c r="D6" i="5"/>
  <c r="E33" i="6" s="1"/>
  <c r="R5" i="5"/>
  <c r="E25" i="6" s="1"/>
  <c r="P5" i="5"/>
  <c r="E24" i="6" s="1"/>
  <c r="N5" i="5"/>
  <c r="E23" i="6" s="1"/>
  <c r="L5" i="5"/>
  <c r="E22" i="6" s="1"/>
  <c r="J5" i="5"/>
  <c r="E21" i="6" s="1"/>
  <c r="H5" i="5"/>
  <c r="E20" i="6" s="1"/>
  <c r="R4" i="5"/>
  <c r="AB4" i="5" s="1"/>
  <c r="P4" i="5"/>
  <c r="J4" i="5"/>
  <c r="E6" i="6" s="1"/>
  <c r="H4" i="5"/>
  <c r="E5" i="6" s="1"/>
  <c r="F4" i="5"/>
  <c r="D4" i="5"/>
  <c r="E3" i="6" s="1"/>
  <c r="I94" i="1"/>
  <c r="H89" i="1"/>
  <c r="H94" i="1" s="1"/>
  <c r="G89" i="1"/>
  <c r="G94" i="1" s="1"/>
  <c r="G88" i="1"/>
  <c r="H88" i="1" s="1"/>
  <c r="G83" i="1"/>
  <c r="G84" i="1" s="1"/>
  <c r="H84" i="1" s="1"/>
  <c r="I82" i="1"/>
  <c r="H82" i="1"/>
  <c r="H77" i="1"/>
  <c r="G77" i="1"/>
  <c r="H67" i="1"/>
  <c r="G67" i="1"/>
  <c r="H66" i="1"/>
  <c r="I66" i="1" s="1"/>
  <c r="I65" i="1"/>
  <c r="H65" i="1"/>
  <c r="H64" i="1"/>
  <c r="I64" i="1" s="1"/>
  <c r="I63" i="1"/>
  <c r="H63" i="1"/>
  <c r="H62" i="1"/>
  <c r="I62" i="1" s="1"/>
  <c r="H61" i="1"/>
  <c r="I61" i="1" s="1"/>
  <c r="H60" i="1"/>
  <c r="I60" i="1" s="1"/>
  <c r="H59" i="1"/>
  <c r="I59" i="1" s="1"/>
  <c r="H58" i="1"/>
  <c r="I58" i="1" s="1"/>
  <c r="J49" i="1"/>
  <c r="G49" i="1" s="1"/>
  <c r="I49" i="1"/>
  <c r="I50" i="1" s="1"/>
  <c r="H49" i="1"/>
  <c r="J48" i="1"/>
  <c r="I48" i="1"/>
  <c r="G48" i="1"/>
  <c r="H48" i="1" s="1"/>
  <c r="I47" i="1"/>
  <c r="G47" i="1"/>
  <c r="H47" i="1" s="1"/>
  <c r="I46" i="1"/>
  <c r="J41" i="1"/>
  <c r="J40" i="1"/>
  <c r="G40" i="1"/>
  <c r="I40" i="1" s="1"/>
  <c r="H40" i="1" s="1"/>
  <c r="J39" i="1"/>
  <c r="G39" i="1"/>
  <c r="I39" i="1" s="1"/>
  <c r="H39" i="1" s="1"/>
  <c r="J38" i="1"/>
  <c r="G38" i="1" s="1"/>
  <c r="I38" i="1" s="1"/>
  <c r="H38" i="1" s="1"/>
  <c r="J37" i="1"/>
  <c r="G37" i="1"/>
  <c r="I37" i="1" s="1"/>
  <c r="H37" i="1" s="1"/>
  <c r="J36" i="1"/>
  <c r="G36" i="1"/>
  <c r="I36" i="1" s="1"/>
  <c r="H36" i="1" s="1"/>
  <c r="J35" i="1"/>
  <c r="G35" i="1"/>
  <c r="I35" i="1" s="1"/>
  <c r="H35" i="1" s="1"/>
  <c r="J34" i="1"/>
  <c r="G34" i="1" s="1"/>
  <c r="I34" i="1" s="1"/>
  <c r="H34" i="1" s="1"/>
  <c r="J33" i="1"/>
  <c r="G33" i="1"/>
  <c r="I33" i="1" s="1"/>
  <c r="H33" i="1" s="1"/>
  <c r="J32" i="1"/>
  <c r="G32" i="1" s="1"/>
  <c r="I32" i="1" s="1"/>
  <c r="H32" i="1" s="1"/>
  <c r="J31" i="1"/>
  <c r="G31" i="1" s="1"/>
  <c r="I31" i="1"/>
  <c r="H31" i="1"/>
  <c r="J30" i="1"/>
  <c r="G30" i="1"/>
  <c r="I30" i="1" s="1"/>
  <c r="H30" i="1" s="1"/>
  <c r="J29" i="1"/>
  <c r="G29" i="1"/>
  <c r="I29" i="1" s="1"/>
  <c r="H29" i="1" s="1"/>
  <c r="J28" i="1"/>
  <c r="G28" i="1"/>
  <c r="I28" i="1" s="1"/>
  <c r="H28" i="1" s="1"/>
  <c r="J27" i="1"/>
  <c r="G27" i="1" s="1"/>
  <c r="I27" i="1" s="1"/>
  <c r="H27" i="1" s="1"/>
  <c r="J26" i="1"/>
  <c r="G26" i="1"/>
  <c r="I26" i="1" s="1"/>
  <c r="H26" i="1" s="1"/>
  <c r="J25" i="1"/>
  <c r="G25" i="1" s="1"/>
  <c r="I25" i="1" s="1"/>
  <c r="H25" i="1" s="1"/>
  <c r="J24" i="1"/>
  <c r="G24" i="1"/>
  <c r="I24" i="1" s="1"/>
  <c r="H24" i="1" s="1"/>
  <c r="J23" i="1"/>
  <c r="G23" i="1" s="1"/>
  <c r="I23" i="1" s="1"/>
  <c r="H23" i="1" s="1"/>
  <c r="J22" i="1"/>
  <c r="G22" i="1"/>
  <c r="I22" i="1" s="1"/>
  <c r="H22" i="1" s="1"/>
  <c r="J21" i="1"/>
  <c r="G21" i="1"/>
  <c r="I21" i="1" s="1"/>
  <c r="H21" i="1" s="1"/>
  <c r="J20" i="1"/>
  <c r="G20" i="1" s="1"/>
  <c r="I20" i="1"/>
  <c r="H20" i="1" s="1"/>
  <c r="J19" i="1"/>
  <c r="G19" i="1"/>
  <c r="I19" i="1" s="1"/>
  <c r="H19" i="1" s="1"/>
  <c r="J18" i="1"/>
  <c r="G18" i="1"/>
  <c r="I18" i="1" s="1"/>
  <c r="H18" i="1" s="1"/>
  <c r="J17" i="1"/>
  <c r="G17" i="1"/>
  <c r="I17" i="1" s="1"/>
  <c r="H17" i="1" s="1"/>
  <c r="J16" i="1"/>
  <c r="G16" i="1" s="1"/>
  <c r="I16" i="1" s="1"/>
  <c r="H16" i="1" s="1"/>
  <c r="J15" i="1"/>
  <c r="G15" i="1"/>
  <c r="I15" i="1" s="1"/>
  <c r="H15" i="1" s="1"/>
  <c r="J14" i="1"/>
  <c r="G14" i="1" s="1"/>
  <c r="I14" i="1" s="1"/>
  <c r="H14" i="1" s="1"/>
  <c r="J13" i="1"/>
  <c r="G13" i="1" s="1"/>
  <c r="I13" i="1" s="1"/>
  <c r="H13" i="1" s="1"/>
  <c r="J12" i="1"/>
  <c r="G12" i="1"/>
  <c r="I12" i="1" s="1"/>
  <c r="H12" i="1" s="1"/>
  <c r="J11" i="1"/>
  <c r="G11" i="1"/>
  <c r="I11" i="1" s="1"/>
  <c r="H11" i="1" s="1"/>
  <c r="J10" i="1"/>
  <c r="G10" i="1"/>
  <c r="I10" i="1" s="1"/>
  <c r="H10" i="1" s="1"/>
  <c r="J9" i="1"/>
  <c r="G9" i="1" s="1"/>
  <c r="I9" i="1" s="1"/>
  <c r="H9" i="1" s="1"/>
  <c r="J8" i="1"/>
  <c r="G8" i="1"/>
  <c r="I8" i="1" s="1"/>
  <c r="H8" i="1" s="1"/>
  <c r="J7" i="1"/>
  <c r="G7" i="1" s="1"/>
  <c r="I6" i="1"/>
  <c r="H6" i="1" s="1"/>
  <c r="M98" i="3"/>
  <c r="L97" i="3"/>
  <c r="L96" i="3"/>
  <c r="L94" i="3"/>
  <c r="I94" i="3"/>
  <c r="G94" i="3"/>
  <c r="M93" i="3"/>
  <c r="M94" i="3" s="1"/>
  <c r="N92" i="3"/>
  <c r="N91" i="3"/>
  <c r="N90" i="3"/>
  <c r="N89" i="3"/>
  <c r="G89" i="3"/>
  <c r="H89" i="3" s="1"/>
  <c r="H94" i="3" s="1"/>
  <c r="N88" i="3"/>
  <c r="N94" i="3" s="1"/>
  <c r="H88" i="3"/>
  <c r="G88" i="3"/>
  <c r="M84" i="3"/>
  <c r="L84" i="3"/>
  <c r="G83" i="3"/>
  <c r="G84" i="3" s="1"/>
  <c r="H84" i="3" s="1"/>
  <c r="H82" i="3"/>
  <c r="I82" i="3" s="1"/>
  <c r="N82" i="3" s="1"/>
  <c r="M81" i="3"/>
  <c r="M77" i="3"/>
  <c r="L77" i="3"/>
  <c r="I77" i="3"/>
  <c r="H77" i="3"/>
  <c r="G77" i="3"/>
  <c r="L75" i="3"/>
  <c r="I74" i="3"/>
  <c r="N74" i="3" s="1"/>
  <c r="N77" i="3" s="1"/>
  <c r="N67" i="3"/>
  <c r="M67" i="3"/>
  <c r="G67" i="3"/>
  <c r="H66" i="3"/>
  <c r="I66" i="3" s="1"/>
  <c r="L66" i="3" s="1"/>
  <c r="H65" i="3"/>
  <c r="I65" i="3" s="1"/>
  <c r="L65" i="3" s="1"/>
  <c r="H64" i="3"/>
  <c r="I64" i="3" s="1"/>
  <c r="L64" i="3" s="1"/>
  <c r="H63" i="3"/>
  <c r="I63" i="3" s="1"/>
  <c r="L63" i="3" s="1"/>
  <c r="H62" i="3"/>
  <c r="H67" i="3" s="1"/>
  <c r="H61" i="3"/>
  <c r="I61" i="3" s="1"/>
  <c r="L61" i="3" s="1"/>
  <c r="H60" i="3"/>
  <c r="I60" i="3" s="1"/>
  <c r="L60" i="3" s="1"/>
  <c r="H59" i="3"/>
  <c r="I59" i="3" s="1"/>
  <c r="L59" i="3" s="1"/>
  <c r="H58" i="3"/>
  <c r="I58" i="3" s="1"/>
  <c r="L57" i="3"/>
  <c r="L56" i="3"/>
  <c r="L55" i="3"/>
  <c r="L54" i="3"/>
  <c r="N50" i="3"/>
  <c r="M50" i="3"/>
  <c r="I49" i="3"/>
  <c r="G49" i="3"/>
  <c r="G50" i="3" s="1"/>
  <c r="L48" i="3"/>
  <c r="I48" i="3"/>
  <c r="G48" i="3"/>
  <c r="I47" i="3"/>
  <c r="L47" i="3" s="1"/>
  <c r="G47" i="3"/>
  <c r="H47" i="3" s="1"/>
  <c r="I46" i="3"/>
  <c r="L46" i="3" s="1"/>
  <c r="G46" i="3"/>
  <c r="H46" i="3" s="1"/>
  <c r="N42" i="3"/>
  <c r="M42" i="3"/>
  <c r="L41" i="3"/>
  <c r="J41" i="3"/>
  <c r="J40" i="3"/>
  <c r="G40" i="3" s="1"/>
  <c r="I40" i="3"/>
  <c r="L40" i="3" s="1"/>
  <c r="H40" i="3"/>
  <c r="J39" i="3"/>
  <c r="G39" i="3" s="1"/>
  <c r="I39" i="3" s="1"/>
  <c r="J38" i="3"/>
  <c r="G38" i="3" s="1"/>
  <c r="I38" i="3" s="1"/>
  <c r="J37" i="3"/>
  <c r="G37" i="3"/>
  <c r="I37" i="3" s="1"/>
  <c r="L37" i="3" s="1"/>
  <c r="J36" i="3"/>
  <c r="G36" i="3"/>
  <c r="I36" i="3" s="1"/>
  <c r="J35" i="3"/>
  <c r="G35" i="3" s="1"/>
  <c r="I35" i="3" s="1"/>
  <c r="L34" i="3"/>
  <c r="J34" i="3"/>
  <c r="G34" i="3" s="1"/>
  <c r="I34" i="3"/>
  <c r="H34" i="3" s="1"/>
  <c r="J33" i="3"/>
  <c r="G33" i="3"/>
  <c r="I33" i="3" s="1"/>
  <c r="J32" i="3"/>
  <c r="G32" i="3"/>
  <c r="I32" i="3" s="1"/>
  <c r="J31" i="3"/>
  <c r="G31" i="3"/>
  <c r="I31" i="3" s="1"/>
  <c r="J30" i="3"/>
  <c r="G30" i="3"/>
  <c r="I30" i="3" s="1"/>
  <c r="J29" i="3"/>
  <c r="G29" i="3" s="1"/>
  <c r="I29" i="3" s="1"/>
  <c r="H29" i="3" s="1"/>
  <c r="J28" i="3"/>
  <c r="G28" i="3" s="1"/>
  <c r="I28" i="3" s="1"/>
  <c r="J27" i="3"/>
  <c r="G27" i="3" s="1"/>
  <c r="I27" i="3"/>
  <c r="L27" i="3" s="1"/>
  <c r="H27" i="3"/>
  <c r="J26" i="3"/>
  <c r="G26" i="3"/>
  <c r="I26" i="3" s="1"/>
  <c r="J25" i="3"/>
  <c r="G25" i="3"/>
  <c r="I25" i="3" s="1"/>
  <c r="L25" i="3" s="1"/>
  <c r="L24" i="3"/>
  <c r="J24" i="3"/>
  <c r="I24" i="3"/>
  <c r="H24" i="3"/>
  <c r="G24" i="3"/>
  <c r="J23" i="3"/>
  <c r="G23" i="3" s="1"/>
  <c r="I23" i="3" s="1"/>
  <c r="J22" i="3"/>
  <c r="G22" i="3" s="1"/>
  <c r="I22" i="3"/>
  <c r="H22" i="3" s="1"/>
  <c r="J21" i="3"/>
  <c r="G21" i="3"/>
  <c r="I21" i="3" s="1"/>
  <c r="J20" i="3"/>
  <c r="I20" i="3"/>
  <c r="L20" i="3" s="1"/>
  <c r="G20" i="3"/>
  <c r="J19" i="3"/>
  <c r="G19" i="3"/>
  <c r="I19" i="3" s="1"/>
  <c r="J18" i="3"/>
  <c r="G18" i="3"/>
  <c r="I18" i="3" s="1"/>
  <c r="J17" i="3"/>
  <c r="G17" i="3" s="1"/>
  <c r="I17" i="3" s="1"/>
  <c r="H17" i="3" s="1"/>
  <c r="J16" i="3"/>
  <c r="G16" i="3" s="1"/>
  <c r="I16" i="3" s="1"/>
  <c r="J15" i="3"/>
  <c r="G15" i="3" s="1"/>
  <c r="I15" i="3"/>
  <c r="L15" i="3" s="1"/>
  <c r="H15" i="3"/>
  <c r="J14" i="3"/>
  <c r="G14" i="3"/>
  <c r="I14" i="3" s="1"/>
  <c r="J13" i="3"/>
  <c r="G13" i="3"/>
  <c r="I13" i="3" s="1"/>
  <c r="L13" i="3" s="1"/>
  <c r="L12" i="3"/>
  <c r="J12" i="3"/>
  <c r="I12" i="3"/>
  <c r="H12" i="3"/>
  <c r="G12" i="3"/>
  <c r="J11" i="3"/>
  <c r="G11" i="3" s="1"/>
  <c r="I11" i="3" s="1"/>
  <c r="L10" i="3"/>
  <c r="J10" i="3"/>
  <c r="G10" i="3" s="1"/>
  <c r="I10" i="3"/>
  <c r="H10" i="3" s="1"/>
  <c r="J9" i="3"/>
  <c r="G9" i="3"/>
  <c r="I9" i="3" s="1"/>
  <c r="J8" i="3"/>
  <c r="G8" i="3"/>
  <c r="I8" i="3" s="1"/>
  <c r="J7" i="3"/>
  <c r="G7" i="3"/>
  <c r="I7" i="3" s="1"/>
  <c r="I6" i="3"/>
  <c r="L8" i="3" l="1"/>
  <c r="H8" i="3"/>
  <c r="L32" i="3"/>
  <c r="H32" i="3"/>
  <c r="I67" i="1"/>
  <c r="J42" i="1"/>
  <c r="E63" i="6"/>
  <c r="AB8" i="5"/>
  <c r="AB11" i="5"/>
  <c r="E155" i="6"/>
  <c r="AB14" i="5"/>
  <c r="E183" i="6"/>
  <c r="AB16" i="5"/>
  <c r="L30" i="3"/>
  <c r="H30" i="3"/>
  <c r="B63" i="6"/>
  <c r="J8" i="4"/>
  <c r="D63" i="6" s="1"/>
  <c r="I42" i="3"/>
  <c r="L35" i="3"/>
  <c r="H35" i="3"/>
  <c r="H49" i="3"/>
  <c r="H50" i="3" s="1"/>
  <c r="L7" i="3"/>
  <c r="H7" i="3"/>
  <c r="L21" i="3"/>
  <c r="H21" i="3"/>
  <c r="H25" i="3"/>
  <c r="L31" i="3"/>
  <c r="H31" i="3"/>
  <c r="L36" i="3"/>
  <c r="H36" i="3"/>
  <c r="I62" i="3"/>
  <c r="L62" i="3" s="1"/>
  <c r="L67" i="3" s="1"/>
  <c r="E201" i="6"/>
  <c r="AB17" i="5"/>
  <c r="B6" i="6"/>
  <c r="T47" i="4"/>
  <c r="V4" i="4"/>
  <c r="B52" i="6"/>
  <c r="Z7" i="4"/>
  <c r="D52" i="6" s="1"/>
  <c r="H16" i="3"/>
  <c r="L16" i="3"/>
  <c r="L26" i="3"/>
  <c r="H26" i="3"/>
  <c r="E93" i="6"/>
  <c r="AB10" i="5"/>
  <c r="B110" i="6"/>
  <c r="R11" i="4"/>
  <c r="D110" i="6" s="1"/>
  <c r="L23" i="3"/>
  <c r="H23" i="3"/>
  <c r="B231" i="6"/>
  <c r="V19" i="4"/>
  <c r="D231" i="6" s="1"/>
  <c r="R39" i="4"/>
  <c r="D530" i="6" s="1"/>
  <c r="B530" i="6"/>
  <c r="L9" i="3"/>
  <c r="H9" i="3"/>
  <c r="H13" i="3"/>
  <c r="L19" i="3"/>
  <c r="H19" i="3"/>
  <c r="L33" i="3"/>
  <c r="H33" i="3"/>
  <c r="L39" i="3"/>
  <c r="H39" i="3"/>
  <c r="I7" i="1"/>
  <c r="G42" i="1"/>
  <c r="AH9" i="4"/>
  <c r="D84" i="6" s="1"/>
  <c r="B84" i="6"/>
  <c r="B486" i="6"/>
  <c r="V36" i="4"/>
  <c r="D486" i="6" s="1"/>
  <c r="H28" i="3"/>
  <c r="L28" i="3"/>
  <c r="L58" i="3"/>
  <c r="Z5" i="4"/>
  <c r="D22" i="6" s="1"/>
  <c r="C22" i="6"/>
  <c r="B79" i="6"/>
  <c r="N9" i="4"/>
  <c r="D79" i="6" s="1"/>
  <c r="B158" i="6"/>
  <c r="AD14" i="4"/>
  <c r="D158" i="6" s="1"/>
  <c r="J42" i="3"/>
  <c r="E10" i="6"/>
  <c r="R49" i="5"/>
  <c r="AL53" i="4" s="1"/>
  <c r="C10" i="6"/>
  <c r="AK47" i="4"/>
  <c r="AL47" i="4" s="1"/>
  <c r="AL59" i="4" s="1"/>
  <c r="C216" i="6"/>
  <c r="V18" i="4"/>
  <c r="D216" i="6" s="1"/>
  <c r="G98" i="3"/>
  <c r="E274" i="6"/>
  <c r="AB22" i="5"/>
  <c r="L11" i="3"/>
  <c r="H11" i="3"/>
  <c r="I50" i="3"/>
  <c r="L49" i="3"/>
  <c r="V21" i="4"/>
  <c r="D261" i="6" s="1"/>
  <c r="V12" i="4"/>
  <c r="D126" i="6" s="1"/>
  <c r="B186" i="6"/>
  <c r="V16" i="4"/>
  <c r="D186" i="6" s="1"/>
  <c r="L17" i="3"/>
  <c r="H37" i="3"/>
  <c r="L18" i="3"/>
  <c r="H18" i="3"/>
  <c r="L22" i="3"/>
  <c r="L50" i="3"/>
  <c r="N10" i="4"/>
  <c r="D94" i="6" s="1"/>
  <c r="B94" i="6"/>
  <c r="B172" i="6"/>
  <c r="Z15" i="4"/>
  <c r="D172" i="6" s="1"/>
  <c r="H47" i="4"/>
  <c r="H38" i="3"/>
  <c r="L38" i="3"/>
  <c r="L14" i="3"/>
  <c r="H14" i="3"/>
  <c r="H20" i="3"/>
  <c r="L29" i="3"/>
  <c r="AL4" i="4"/>
  <c r="D10" i="6" s="1"/>
  <c r="B69" i="6"/>
  <c r="AH8" i="4"/>
  <c r="D69" i="6" s="1"/>
  <c r="C153" i="6"/>
  <c r="J14" i="4"/>
  <c r="D153" i="6" s="1"/>
  <c r="AD33" i="4"/>
  <c r="D443" i="6" s="1"/>
  <c r="B443" i="6"/>
  <c r="B469" i="6"/>
  <c r="N35" i="4"/>
  <c r="D469" i="6" s="1"/>
  <c r="C6" i="6"/>
  <c r="U47" i="4"/>
  <c r="C11" i="6"/>
  <c r="AO47" i="4"/>
  <c r="AP47" i="4" s="1"/>
  <c r="AP59" i="4" s="1"/>
  <c r="C138" i="6"/>
  <c r="J13" i="4"/>
  <c r="D138" i="6" s="1"/>
  <c r="V20" i="4"/>
  <c r="D246" i="6" s="1"/>
  <c r="B246" i="6"/>
  <c r="B262" i="6"/>
  <c r="Z21" i="4"/>
  <c r="D262" i="6" s="1"/>
  <c r="M47" i="4"/>
  <c r="N47" i="4" s="1"/>
  <c r="N59" i="4" s="1"/>
  <c r="N63" i="4" s="1"/>
  <c r="G46" i="1"/>
  <c r="H46" i="1" s="1"/>
  <c r="H50" i="1" s="1"/>
  <c r="AD5" i="4"/>
  <c r="D23" i="6" s="1"/>
  <c r="B48" i="6"/>
  <c r="J7" i="4"/>
  <c r="D48" i="6" s="1"/>
  <c r="R9" i="4"/>
  <c r="D80" i="6" s="1"/>
  <c r="B80" i="6"/>
  <c r="Z12" i="4"/>
  <c r="D127" i="6" s="1"/>
  <c r="AD13" i="4"/>
  <c r="D143" i="6" s="1"/>
  <c r="B154" i="6"/>
  <c r="N14" i="4"/>
  <c r="D154" i="6" s="1"/>
  <c r="J15" i="4"/>
  <c r="D168" i="6" s="1"/>
  <c r="Z18" i="4"/>
  <c r="D217" i="6" s="1"/>
  <c r="B217" i="6"/>
  <c r="V31" i="4"/>
  <c r="D411" i="6" s="1"/>
  <c r="B411" i="6"/>
  <c r="N38" i="4"/>
  <c r="D514" i="6" s="1"/>
  <c r="H6" i="3"/>
  <c r="AB6" i="5"/>
  <c r="AW47" i="4"/>
  <c r="AX47" i="4" s="1"/>
  <c r="AX59" i="4" s="1"/>
  <c r="C13" i="6"/>
  <c r="N6" i="4"/>
  <c r="D34" i="6" s="1"/>
  <c r="AD6" i="4"/>
  <c r="D38" i="6" s="1"/>
  <c r="N8" i="4"/>
  <c r="D64" i="6" s="1"/>
  <c r="R10" i="4"/>
  <c r="D95" i="6" s="1"/>
  <c r="B144" i="6"/>
  <c r="AH13" i="4"/>
  <c r="D144" i="6" s="1"/>
  <c r="N34" i="4"/>
  <c r="D454" i="6" s="1"/>
  <c r="C14" i="6"/>
  <c r="BA47" i="4"/>
  <c r="BB47" i="4" s="1"/>
  <c r="BB59" i="4" s="1"/>
  <c r="B65" i="6"/>
  <c r="R8" i="4"/>
  <c r="D65" i="6" s="1"/>
  <c r="J18" i="4"/>
  <c r="D213" i="6" s="1"/>
  <c r="B213" i="6"/>
  <c r="C263" i="6"/>
  <c r="AD21" i="4"/>
  <c r="D263" i="6" s="1"/>
  <c r="C289" i="6"/>
  <c r="N23" i="4"/>
  <c r="D289" i="6" s="1"/>
  <c r="L6" i="3"/>
  <c r="C3" i="6"/>
  <c r="I47" i="4"/>
  <c r="AH7" i="4"/>
  <c r="D54" i="6" s="1"/>
  <c r="B112" i="6"/>
  <c r="Z11" i="4"/>
  <c r="D112" i="6" s="1"/>
  <c r="Z20" i="4"/>
  <c r="D247" i="6" s="1"/>
  <c r="N22" i="4"/>
  <c r="D274" i="6" s="1"/>
  <c r="AD35" i="4"/>
  <c r="D473" i="6" s="1"/>
  <c r="B473" i="6"/>
  <c r="V38" i="4"/>
  <c r="D516" i="6" s="1"/>
  <c r="G42" i="3"/>
  <c r="D49" i="5"/>
  <c r="J53" i="4" s="1"/>
  <c r="J4" i="4"/>
  <c r="D3" i="6" s="1"/>
  <c r="N7" i="4"/>
  <c r="D49" i="6" s="1"/>
  <c r="V9" i="4"/>
  <c r="D81" i="6" s="1"/>
  <c r="R14" i="4"/>
  <c r="D155" i="6" s="1"/>
  <c r="AD16" i="4"/>
  <c r="D188" i="6" s="1"/>
  <c r="C203" i="6"/>
  <c r="AD17" i="4"/>
  <c r="D203" i="6" s="1"/>
  <c r="B248" i="6"/>
  <c r="AD20" i="4"/>
  <c r="D248" i="6" s="1"/>
  <c r="B517" i="6"/>
  <c r="Z38" i="4"/>
  <c r="D517" i="6" s="1"/>
  <c r="H83" i="3"/>
  <c r="F49" i="5"/>
  <c r="N53" i="4" s="1"/>
  <c r="E4" i="6"/>
  <c r="AB5" i="5"/>
  <c r="AB49" i="5" s="1"/>
  <c r="E288" i="6"/>
  <c r="AB23" i="5"/>
  <c r="H49" i="5"/>
  <c r="R53" i="4" s="1"/>
  <c r="B4" i="6"/>
  <c r="N4" i="4"/>
  <c r="D4" i="6" s="1"/>
  <c r="C8" i="6"/>
  <c r="AC47" i="4"/>
  <c r="C27" i="6"/>
  <c r="AS47" i="4"/>
  <c r="AT47" i="4" s="1"/>
  <c r="AT59" i="4" s="1"/>
  <c r="B50" i="6"/>
  <c r="R7" i="4"/>
  <c r="D50" i="6" s="1"/>
  <c r="B82" i="6"/>
  <c r="Z9" i="4"/>
  <c r="D82" i="6" s="1"/>
  <c r="B108" i="6"/>
  <c r="J11" i="4"/>
  <c r="D108" i="6" s="1"/>
  <c r="AH16" i="4"/>
  <c r="D189" i="6" s="1"/>
  <c r="B189" i="6"/>
  <c r="J20" i="4"/>
  <c r="D243" i="6" s="1"/>
  <c r="C259" i="6"/>
  <c r="N21" i="4"/>
  <c r="D259" i="6" s="1"/>
  <c r="Y47" i="4"/>
  <c r="C7" i="6"/>
  <c r="B258" i="6"/>
  <c r="J21" i="4"/>
  <c r="D258" i="6" s="1"/>
  <c r="B8" i="6"/>
  <c r="AD4" i="4"/>
  <c r="D8" i="6" s="1"/>
  <c r="AH12" i="4"/>
  <c r="D129" i="6" s="1"/>
  <c r="J17" i="4"/>
  <c r="D198" i="6" s="1"/>
  <c r="AB29" i="5"/>
  <c r="J49" i="5"/>
  <c r="V53" i="4" s="1"/>
  <c r="R15" i="4"/>
  <c r="D170" i="6" s="1"/>
  <c r="N16" i="4"/>
  <c r="D184" i="6" s="1"/>
  <c r="AD19" i="4"/>
  <c r="D233" i="6" s="1"/>
  <c r="B260" i="6"/>
  <c r="R21" i="4"/>
  <c r="D260" i="6" s="1"/>
  <c r="E123" i="6"/>
  <c r="AB12" i="5"/>
  <c r="B96" i="6"/>
  <c r="V10" i="4"/>
  <c r="D96" i="6" s="1"/>
  <c r="B140" i="6"/>
  <c r="R13" i="4"/>
  <c r="D140" i="6" s="1"/>
  <c r="B244" i="6"/>
  <c r="N20" i="4"/>
  <c r="D244" i="6" s="1"/>
  <c r="H48" i="3"/>
  <c r="AB18" i="5"/>
  <c r="L49" i="5"/>
  <c r="Z53" i="4" s="1"/>
  <c r="C9" i="6"/>
  <c r="AG47" i="4"/>
  <c r="R5" i="4"/>
  <c r="D20" i="6" s="1"/>
  <c r="V6" i="4"/>
  <c r="D36" i="6" s="1"/>
  <c r="AL6" i="4"/>
  <c r="D40" i="6" s="1"/>
  <c r="B78" i="6"/>
  <c r="J9" i="4"/>
  <c r="D78" i="6" s="1"/>
  <c r="C98" i="6"/>
  <c r="AD10" i="4"/>
  <c r="D98" i="6" s="1"/>
  <c r="AD11" i="4"/>
  <c r="D113" i="6" s="1"/>
  <c r="B125" i="6"/>
  <c r="R12" i="4"/>
  <c r="D125" i="6" s="1"/>
  <c r="V13" i="4"/>
  <c r="D141" i="6" s="1"/>
  <c r="AH17" i="4"/>
  <c r="D204" i="6" s="1"/>
  <c r="B215" i="6"/>
  <c r="R18" i="4"/>
  <c r="D215" i="6" s="1"/>
  <c r="B276" i="6"/>
  <c r="V22" i="4"/>
  <c r="D276" i="6" s="1"/>
  <c r="AD34" i="4"/>
  <c r="D458" i="6" s="1"/>
  <c r="B458" i="6"/>
  <c r="N37" i="4"/>
  <c r="D499" i="6" s="1"/>
  <c r="B499" i="6"/>
  <c r="Z17" i="4"/>
  <c r="D202" i="6" s="1"/>
  <c r="B264" i="6"/>
  <c r="AH21" i="4"/>
  <c r="D264" i="6" s="1"/>
  <c r="N33" i="4"/>
  <c r="D439" i="6" s="1"/>
  <c r="AB47" i="4"/>
  <c r="AD47" i="4" s="1"/>
  <c r="H83" i="1"/>
  <c r="I83" i="1" s="1"/>
  <c r="I84" i="1" s="1"/>
  <c r="AB20" i="5"/>
  <c r="J5" i="4"/>
  <c r="D18" i="6" s="1"/>
  <c r="I83" i="3"/>
  <c r="Z10" i="4"/>
  <c r="D97" i="6" s="1"/>
  <c r="N12" i="4"/>
  <c r="D124" i="6" s="1"/>
  <c r="AH15" i="4"/>
  <c r="D174" i="6" s="1"/>
  <c r="AH18" i="4"/>
  <c r="D219" i="6" s="1"/>
  <c r="N19" i="4"/>
  <c r="D229" i="6" s="1"/>
  <c r="E9" i="6"/>
  <c r="P49" i="5"/>
  <c r="AH53" i="4" s="1"/>
  <c r="AB7" i="5"/>
  <c r="E230" i="6"/>
  <c r="AB19" i="5"/>
  <c r="N49" i="5"/>
  <c r="AD53" i="4" s="1"/>
  <c r="C5" i="6"/>
  <c r="Q47" i="4"/>
  <c r="AH4" i="4"/>
  <c r="D9" i="6" s="1"/>
  <c r="X47" i="4"/>
  <c r="B37" i="6"/>
  <c r="Z8" i="4"/>
  <c r="D67" i="6" s="1"/>
  <c r="J10" i="4"/>
  <c r="D93" i="6" s="1"/>
  <c r="B114" i="6"/>
  <c r="AH11" i="4"/>
  <c r="D114" i="6" s="1"/>
  <c r="B142" i="6"/>
  <c r="Z13" i="4"/>
  <c r="D142" i="6" s="1"/>
  <c r="AH20" i="4"/>
  <c r="D249" i="6" s="1"/>
  <c r="R36" i="4"/>
  <c r="D485" i="6" s="1"/>
  <c r="P47" i="4"/>
  <c r="R47" i="4" s="1"/>
  <c r="R59" i="4" s="1"/>
  <c r="R63" i="4" s="1"/>
  <c r="AF47" i="4"/>
  <c r="Z23" i="4"/>
  <c r="D292" i="6" s="1"/>
  <c r="N32" i="4"/>
  <c r="D424" i="6" s="1"/>
  <c r="R33" i="4"/>
  <c r="D440" i="6" s="1"/>
  <c r="R34" i="4"/>
  <c r="D455" i="6" s="1"/>
  <c r="Z37" i="4"/>
  <c r="D502" i="6" s="1"/>
  <c r="N5" i="4"/>
  <c r="D19" i="6" s="1"/>
  <c r="AL5" i="4"/>
  <c r="D25" i="6" s="1"/>
  <c r="AD7" i="4"/>
  <c r="D53" i="6" s="1"/>
  <c r="AD8" i="4"/>
  <c r="D68" i="6" s="1"/>
  <c r="Z16" i="4"/>
  <c r="D187" i="6" s="1"/>
  <c r="Z36" i="4"/>
  <c r="D487" i="6" s="1"/>
  <c r="B515" i="6"/>
  <c r="J12" i="4"/>
  <c r="D123" i="6" s="1"/>
  <c r="AD12" i="4"/>
  <c r="D128" i="6" s="1"/>
  <c r="N36" i="4"/>
  <c r="D484" i="6" s="1"/>
  <c r="L98" i="3" l="1"/>
  <c r="I71" i="4"/>
  <c r="I74" i="4" s="1"/>
  <c r="J47" i="4"/>
  <c r="J59" i="4" s="1"/>
  <c r="L42" i="1"/>
  <c r="L43" i="1" s="1"/>
  <c r="K42" i="1"/>
  <c r="H42" i="3"/>
  <c r="H98" i="3" s="1"/>
  <c r="G50" i="1"/>
  <c r="I67" i="3"/>
  <c r="D6" i="6"/>
  <c r="V47" i="4"/>
  <c r="V59" i="4" s="1"/>
  <c r="V63" i="4" s="1"/>
  <c r="N83" i="3"/>
  <c r="N84" i="3" s="1"/>
  <c r="N98" i="3" s="1"/>
  <c r="I84" i="3"/>
  <c r="H7" i="1"/>
  <c r="H42" i="1" s="1"/>
  <c r="H98" i="1" s="1"/>
  <c r="I42" i="1"/>
  <c r="G98" i="1" s="1"/>
  <c r="Z47" i="4"/>
  <c r="Z59" i="4" s="1"/>
  <c r="Z63" i="4" s="1"/>
  <c r="L42" i="3"/>
  <c r="AD59" i="4"/>
  <c r="AD63" i="4" s="1"/>
  <c r="AH64" i="4"/>
  <c r="AH47" i="4"/>
  <c r="AH59" i="4" s="1"/>
  <c r="AH63" i="4" s="1"/>
  <c r="J63" i="4" l="1"/>
  <c r="I83" i="4" s="1"/>
  <c r="I86" i="4" s="1"/>
  <c r="I68" i="4"/>
  <c r="I80" i="4"/>
  <c r="I77" i="4"/>
  <c r="I98" i="3"/>
  <c r="I98" i="1"/>
</calcChain>
</file>

<file path=xl/sharedStrings.xml><?xml version="1.0" encoding="utf-8"?>
<sst xmlns="http://schemas.openxmlformats.org/spreadsheetml/2006/main" count="1416" uniqueCount="249">
  <si>
    <t>Mega Plant Overheads 2026</t>
  </si>
  <si>
    <t>Site Costs In Rates</t>
  </si>
  <si>
    <t>Site Costs P &amp; G</t>
  </si>
  <si>
    <t>Head Office</t>
  </si>
  <si>
    <t>Vehicle Costs</t>
  </si>
  <si>
    <t>Description</t>
  </si>
  <si>
    <t>GL Account</t>
  </si>
  <si>
    <t>Suppliers</t>
  </si>
  <si>
    <t>Qty</t>
  </si>
  <si>
    <t>P/Unit</t>
  </si>
  <si>
    <t>Amount</t>
  </si>
  <si>
    <t>VAT</t>
  </si>
  <si>
    <t>Total</t>
  </si>
  <si>
    <t>Plant purchase value excl</t>
  </si>
  <si>
    <t>AEB Plant Versekering</t>
  </si>
  <si>
    <t>CASE TLB</t>
  </si>
  <si>
    <t>TLB05</t>
  </si>
  <si>
    <t>Terex TLB 820</t>
  </si>
  <si>
    <t>TLB01</t>
  </si>
  <si>
    <t>CAT 425F (428E)</t>
  </si>
  <si>
    <t>TLB02</t>
  </si>
  <si>
    <t>TLB03</t>
  </si>
  <si>
    <t>BELL TLB</t>
  </si>
  <si>
    <t>TLB04</t>
  </si>
  <si>
    <t>CASE420 (430)</t>
  </si>
  <si>
    <t>SS01</t>
  </si>
  <si>
    <t>SS02</t>
  </si>
  <si>
    <t>TATTA 6M6</t>
  </si>
  <si>
    <t>TP601</t>
  </si>
  <si>
    <t>TP602</t>
  </si>
  <si>
    <t>MERC</t>
  </si>
  <si>
    <t>WB01</t>
  </si>
  <si>
    <t>ISUZU 800</t>
  </si>
  <si>
    <t>CT01</t>
  </si>
  <si>
    <t>DEZZI GRADER</t>
  </si>
  <si>
    <t>MG01</t>
  </si>
  <si>
    <t>SANTUI 20TON EXC</t>
  </si>
  <si>
    <t>EXC01</t>
  </si>
  <si>
    <t>CAT 12TON RV</t>
  </si>
  <si>
    <t>RV03</t>
  </si>
  <si>
    <t>CAT 2,4TON RV</t>
  </si>
  <si>
    <t>RV01</t>
  </si>
  <si>
    <t>ELB 1TON RV</t>
  </si>
  <si>
    <t>30KVA GENERATOR</t>
  </si>
  <si>
    <t>10 KVA GENERATOR</t>
  </si>
  <si>
    <t>7,5 KVA GENERATOR</t>
  </si>
  <si>
    <t>TRAILOR PLANT</t>
  </si>
  <si>
    <t>DIESEL TRAILOR</t>
  </si>
  <si>
    <t>WATER TRAILOR</t>
  </si>
  <si>
    <t>WT01</t>
  </si>
  <si>
    <t>OFFICE CONTAINER</t>
  </si>
  <si>
    <t>SITE CONTANER</t>
  </si>
  <si>
    <t>Porta camp</t>
  </si>
  <si>
    <t>Solar office</t>
  </si>
  <si>
    <t>Yearly on the road fees</t>
  </si>
  <si>
    <t>Santam versekering</t>
  </si>
  <si>
    <t>Tracking</t>
  </si>
  <si>
    <t>Diesel Truck</t>
  </si>
  <si>
    <t>DT01</t>
  </si>
  <si>
    <t>Water truck</t>
  </si>
  <si>
    <t>WB02</t>
  </si>
  <si>
    <t>TLB 4 LL20TW GP - Monthly Finance Costs</t>
  </si>
  <si>
    <t>Finance Costs</t>
  </si>
  <si>
    <t>Bastion</t>
  </si>
  <si>
    <t>TLB06</t>
  </si>
  <si>
    <t>TLB 5 LN58CS GP - Monthly Finance Costs</t>
  </si>
  <si>
    <t>TLB07</t>
  </si>
  <si>
    <t>Desi Grader - Monthly Finance Costs</t>
  </si>
  <si>
    <t>MG02</t>
  </si>
  <si>
    <t>Roller - Monthly Finance Cost</t>
  </si>
  <si>
    <t>RV04</t>
  </si>
  <si>
    <t>TLB 4 LL20TW GP - Insurance</t>
  </si>
  <si>
    <t>Insurance</t>
  </si>
  <si>
    <t>TLB 5 LN58CS GP - Insurance</t>
  </si>
  <si>
    <t>Desi Grader - Insurance</t>
  </si>
  <si>
    <t>Roller - Insurance</t>
  </si>
  <si>
    <t>TLB 4 LL20TW GP - Tracker</t>
  </si>
  <si>
    <t>TLB 5 LN58CS GP - Tracker</t>
  </si>
  <si>
    <t xml:space="preserve">Toyota Bakkie - LD13HZ GP </t>
  </si>
  <si>
    <t xml:space="preserve"> Personel</t>
  </si>
  <si>
    <t>Salaries</t>
  </si>
  <si>
    <t>Opp + Drywers</t>
  </si>
  <si>
    <t>CCS + Buildsmart</t>
  </si>
  <si>
    <t>Abrie - CCS</t>
  </si>
  <si>
    <t>CCS</t>
  </si>
  <si>
    <t>AEB</t>
  </si>
  <si>
    <t>Charl - CCS</t>
  </si>
  <si>
    <t>RIB</t>
  </si>
  <si>
    <t>Buildsmart Yearly update</t>
  </si>
  <si>
    <t>Buildsmart</t>
  </si>
  <si>
    <t>Mega infra</t>
  </si>
  <si>
    <t>Rent</t>
  </si>
  <si>
    <t>Huur</t>
  </si>
  <si>
    <t>Water &amp; Ligte</t>
  </si>
  <si>
    <t>Petty cash</t>
  </si>
  <si>
    <t>Petty Cash</t>
  </si>
  <si>
    <t>Maintenance</t>
  </si>
  <si>
    <t>Total Overhead Cost Montly</t>
  </si>
  <si>
    <t xml:space="preserve"> </t>
  </si>
  <si>
    <t>Attie</t>
  </si>
  <si>
    <t>Sandrea</t>
  </si>
  <si>
    <t>Jantjie</t>
  </si>
  <si>
    <t>Plant Monthly Running Cost</t>
  </si>
  <si>
    <t>Plant</t>
  </si>
  <si>
    <t>January Monthly Running Cost</t>
  </si>
  <si>
    <t>February Monthly Running Cost</t>
  </si>
  <si>
    <t>March Monthly Running Cost</t>
  </si>
  <si>
    <t>April Monthly Running Cost</t>
  </si>
  <si>
    <t>May Monthly Running Cost</t>
  </si>
  <si>
    <t>June Monthly Running Cost</t>
  </si>
  <si>
    <t>July Monthly Running Cost</t>
  </si>
  <si>
    <t>September Monthly Running Cost</t>
  </si>
  <si>
    <t>October Monthly Running Cost</t>
  </si>
  <si>
    <t>November Monthly Running Cost</t>
  </si>
  <si>
    <t>December Monthly Running Cost</t>
  </si>
  <si>
    <t>Yearly Total Machine Running Cost</t>
  </si>
  <si>
    <t>Case Compactor</t>
  </si>
  <si>
    <t>TATTA 6M3</t>
  </si>
  <si>
    <t>UD 80</t>
  </si>
  <si>
    <t>DB01</t>
  </si>
  <si>
    <t>WT02</t>
  </si>
  <si>
    <t>MB01</t>
  </si>
  <si>
    <t>MB02</t>
  </si>
  <si>
    <t>Cost</t>
  </si>
  <si>
    <t>Plant Fixed Monthly Cost Including Operator</t>
  </si>
  <si>
    <t>Monthly Payment Excl</t>
  </si>
  <si>
    <t>Monthly Payment Incl</t>
  </si>
  <si>
    <t>January Income</t>
  </si>
  <si>
    <t>January  Fixed Expenses</t>
  </si>
  <si>
    <t>Profit / Loss</t>
  </si>
  <si>
    <t>February Income</t>
  </si>
  <si>
    <t>February Fixed Expenses</t>
  </si>
  <si>
    <t xml:space="preserve">March Income </t>
  </si>
  <si>
    <t>March Fixed Expenses</t>
  </si>
  <si>
    <t>April Income</t>
  </si>
  <si>
    <t>April Fixed Expenses</t>
  </si>
  <si>
    <t>May Income</t>
  </si>
  <si>
    <t>May Fixed Expenses</t>
  </si>
  <si>
    <t>June Income</t>
  </si>
  <si>
    <t>June Fixed Expenses</t>
  </si>
  <si>
    <t>July Income</t>
  </si>
  <si>
    <t>July Fixed Expenses</t>
  </si>
  <si>
    <t>August Income</t>
  </si>
  <si>
    <t>August Fixed Expenses</t>
  </si>
  <si>
    <t>September Income</t>
  </si>
  <si>
    <t>September Fixed Expenses</t>
  </si>
  <si>
    <t>October Income</t>
  </si>
  <si>
    <t>October Fixed  Expenses</t>
  </si>
  <si>
    <t>November Income</t>
  </si>
  <si>
    <t>November Fixed Expenses</t>
  </si>
  <si>
    <t>December Income</t>
  </si>
  <si>
    <t>December Fixed Expenses</t>
  </si>
  <si>
    <t>January Expenses</t>
  </si>
  <si>
    <t>February Expenses</t>
  </si>
  <si>
    <t>March Expenses</t>
  </si>
  <si>
    <t>April Expenses</t>
  </si>
  <si>
    <t>May Expenses</t>
  </si>
  <si>
    <t>June Expense</t>
  </si>
  <si>
    <t>July Expenses</t>
  </si>
  <si>
    <t>August Expenses</t>
  </si>
  <si>
    <t>September Expense</t>
  </si>
  <si>
    <t>October Expenses</t>
  </si>
  <si>
    <t>November Expenses</t>
  </si>
  <si>
    <t>December Expense</t>
  </si>
  <si>
    <t>January Wages</t>
  </si>
  <si>
    <t>February Wages</t>
  </si>
  <si>
    <t>March Wages</t>
  </si>
  <si>
    <t>April Wages</t>
  </si>
  <si>
    <t>May Wages</t>
  </si>
  <si>
    <t>June Wages</t>
  </si>
  <si>
    <t>July Wages</t>
  </si>
  <si>
    <t>August Wages</t>
  </si>
  <si>
    <t>September Wages</t>
  </si>
  <si>
    <t>October Wages</t>
  </si>
  <si>
    <t>November Wages</t>
  </si>
  <si>
    <t>December Wages</t>
  </si>
  <si>
    <t>August Monthly Running Cost</t>
  </si>
  <si>
    <t>January Salary</t>
  </si>
  <si>
    <t>February Salary</t>
  </si>
  <si>
    <t>March Salary</t>
  </si>
  <si>
    <t>April Salary</t>
  </si>
  <si>
    <t>May Salary</t>
  </si>
  <si>
    <t>June Salary</t>
  </si>
  <si>
    <t>Total Profit/Loss January</t>
  </si>
  <si>
    <t>Total Profit/Loss February</t>
  </si>
  <si>
    <t>Total Profit/Loss March</t>
  </si>
  <si>
    <t>Total Profit/Loss April</t>
  </si>
  <si>
    <t>Total Profit/Loss May</t>
  </si>
  <si>
    <t>Total Profit/Loss June</t>
  </si>
  <si>
    <t>Total Profit/Loss July</t>
  </si>
  <si>
    <t>Monthly Payments</t>
  </si>
  <si>
    <t>Total Profit/Loss</t>
  </si>
  <si>
    <t>Total Income</t>
  </si>
  <si>
    <t>Rent not given to external Suppliers</t>
  </si>
  <si>
    <t>N1 Share</t>
  </si>
  <si>
    <t>Given to External Supplier</t>
  </si>
  <si>
    <t>Total Banked After Plant Payments</t>
  </si>
  <si>
    <t>Banked in 1 Year Period</t>
  </si>
  <si>
    <t>Terex TLB 820 (TLB01)</t>
  </si>
  <si>
    <t>Month</t>
  </si>
  <si>
    <t>Income</t>
  </si>
  <si>
    <t>Fixed Expenses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</si>
  <si>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</si>
  <si>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</si>
  <si>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</si>
  <si>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</si>
  <si>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</si>
  <si>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</si>
  <si>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</si>
  <si>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</si>
  <si>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</si>
  <si>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</si>
  <si>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</si>
  <si>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</si>
  <si>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CAT 425F (428E) (TLB02)</t>
  </si>
  <si>
    <t>Terex TLB 820 (TLB03)</t>
  </si>
  <si>
    <t>BELL TLB (TLB04)</t>
  </si>
  <si>
    <t>CASE TLB (TLB05)</t>
  </si>
  <si>
    <t>CASE TLB (TLB06)</t>
  </si>
  <si>
    <t>CASE TLB (TLB07)</t>
  </si>
  <si>
    <t>CASE420 (430) (SS01)</t>
  </si>
  <si>
    <t>CASE420 (430) (SS02)</t>
  </si>
  <si>
    <t>CAT 2,4TON RV (RV01)</t>
  </si>
  <si>
    <t>CAT 12TON RV (RV03)</t>
  </si>
  <si>
    <t>Case Compactor (RV04)</t>
  </si>
  <si>
    <t>DEZZI GRADER (MG01)</t>
  </si>
  <si>
    <t>DEZZI GRADER (MG02)</t>
  </si>
  <si>
    <t>ISUZU 800 (CT01)</t>
  </si>
  <si>
    <t>TATTA 6M3 (TP601)</t>
  </si>
  <si>
    <t>TATTA 6M3 (TP602)</t>
  </si>
  <si>
    <t>MERC (WB01)</t>
  </si>
  <si>
    <t>MERC (WB02)</t>
  </si>
  <si>
    <t>UD 80 (DT01)</t>
  </si>
  <si>
    <t>SANTUI 20TON EXC (EXC01)</t>
  </si>
  <si>
    <t>WATER TRAILOR (WT01)</t>
  </si>
  <si>
    <t>OFFICE CONTAINER #1</t>
  </si>
  <si>
    <t>OFFICE CONTAINER #2</t>
  </si>
  <si>
    <t>SITE CONTANER #1</t>
  </si>
  <si>
    <t>SITE CONTANER #2</t>
  </si>
  <si>
    <t>SITE CONTANER #3</t>
  </si>
  <si>
    <t>SITE CONTANER #4</t>
  </si>
  <si>
    <t>SITE CONTANER #5</t>
  </si>
  <si>
    <t>SITE CONTANER #6</t>
  </si>
  <si>
    <t>SITE CONTANER #7</t>
  </si>
  <si>
    <t>Porta camp #1</t>
  </si>
  <si>
    <t>Porta camp #2</t>
  </si>
  <si>
    <t>Machine Monthly Income, Fixed Expenses and Profit / Loss</t>
  </si>
  <si>
    <t>Monthly trend per plant. Blank income/profit periods remain unplotted until figures are entered on the source sheet.</t>
  </si>
  <si>
    <t>Monthly Running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</si>
</sst>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&quot;R&quot;\ #,##0.00;[Red]\(&quot;R&quot;\ #,##0.00\);\-"/>
    <numFmt numFmtId="165" formatCode="\R\ #,##0.00;[Red]\(\R\ #,##0.00\);\-"/>
  </numFmts>
  <fonts count="29" x14ac:knownFonts="1">
    <font>
      <sz val="11"/>
      <color theme="1"/>
      <name val="Calibri"/>
    </font>
    <font>
      <sz val="11"/>
      <color theme="1"/>
      <name val="Calibri"/>
    </font>
    <font>
      <b/>
      <sz val="11"/>
      <color theme="3"/>
      <name val="Calibri"/>
    </font>
    <font>
      <sz val="11"/>
      <color rgb="FFFF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9"/>
      <name val="Calibri"/>
    </font>
    <font>
      <b/>
      <sz val="11"/>
      <color theme="1"/>
      <name val="Calibri"/>
    </font>
    <font>
      <b/>
      <sz val="11"/>
      <color theme="9"/>
      <name val="Calibri"/>
    </font>
    <font>
      <b/>
      <sz val="11"/>
      <color rgb="FFFF0000"/>
      <name val="Calibri"/>
    </font>
    <font>
      <sz val="12"/>
      <color theme="1"/>
      <name val="Calibri"/>
    </font>
    <font>
      <b/>
      <sz val="14"/>
      <color theme="1"/>
      <name val="Calibri"/>
    </font>
    <font>
      <b/>
      <sz val="16"/>
      <color theme="4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2"/>
      <color theme="1"/>
      <name val="Calibri"/>
    </font>
    <font>
      <b/>
      <sz val="12"/>
      <color theme="1"/>
      <name val="Calibri"/>
    </font>
    <font>
      <b/>
      <sz val="12"/>
      <color theme="3"/>
      <name val="Calibri"/>
    </font>
    <font>
      <sz val="12"/>
      <color theme="3"/>
      <name val="Calibri"/>
    </font>
    <font>
      <sz val="11"/>
      <color theme="3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2"/>
      <name val="Calibri"/>
    </font>
    <font>
      <b/>
      <sz val="11"/>
      <color rgb="FFFFFFFF"/>
      <name val="Calibri"/>
    </font>
    <font>
      <i/>
      <sz val="11"/>
      <color rgb="FF44546A"/>
      <name val="Calibri"/>
    </font>
    <font>
      <b/>
      <sz val="11"/>
      <color rgb="FF1F1F1F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theme="9" tint="0.79992065187536243"/>
        <bgColor indexed="65"/>
      </patternFill>
    </fill>
    <fill>
      <patternFill patternType="solid">
        <fgColor rgb="FFFFFF00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5" tint="0.79992065187536243"/>
        <bgColor indexed="65"/>
      </patternFill>
    </fill>
    <fill>
      <patternFill patternType="solid">
        <fgColor rgb="FF00B0F0"/>
      </patternFill>
    </fill>
    <fill>
      <patternFill patternType="solid">
        <fgColor theme="8"/>
      </patternFill>
    </fill>
    <fill>
      <patternFill patternType="solid">
        <fgColor rgb="FFFFC000"/>
      </patternFill>
    </fill>
    <fill>
      <patternFill patternType="solid">
        <fgColor theme="3" tint="0.89992980742820516"/>
        <bgColor indexed="65"/>
      </patternFill>
    </fill>
    <fill>
      <patternFill patternType="solid">
        <fgColor theme="3" tint="0.49992370372631001"/>
        <bgColor indexed="65"/>
      </patternFill>
    </fill>
    <fill>
      <patternFill patternType="solid">
        <fgColor theme="9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7"/>
      </patternFill>
    </fill>
    <fill>
      <patternFill patternType="solid">
        <fgColor rgb="FFFF0000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9EAF7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rgb="FF9EADBA"/>
      </left>
      <right/>
      <top style="thin">
        <color rgb="FF9EADBA"/>
      </top>
      <bottom style="thin">
        <color rgb="FF9EADBA"/>
      </bottom>
      <diagonal/>
    </border>
    <border>
      <left/>
      <right/>
      <top style="thin">
        <color rgb="FF9EADBA"/>
      </top>
      <bottom style="thin">
        <color rgb="FF9EADBA"/>
      </bottom>
      <diagonal/>
    </border>
    <border>
      <left/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7">
    <xf numFmtId="0" fontId="0" fillId="0" borderId="0" xfId="0"/>
    <xf numFmtId="44" fontId="6" fillId="0" borderId="0" xfId="1" applyFont="1"/>
    <xf numFmtId="0" fontId="3" fillId="0" borderId="0" xfId="0" applyFont="1"/>
    <xf numFmtId="44" fontId="0" fillId="0" borderId="0" xfId="1" applyFont="1"/>
    <xf numFmtId="0" fontId="0" fillId="3" borderId="1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44" fontId="0" fillId="3" borderId="6" xfId="0" applyNumberFormat="1" applyFill="1" applyBorder="1" applyAlignment="1">
      <alignment horizontal="center"/>
    </xf>
    <xf numFmtId="44" fontId="0" fillId="3" borderId="5" xfId="0" applyNumberFormat="1" applyFill="1" applyBorder="1" applyAlignment="1">
      <alignment horizontal="center"/>
    </xf>
    <xf numFmtId="44" fontId="0" fillId="3" borderId="7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0" fillId="0" borderId="8" xfId="0" applyBorder="1"/>
    <xf numFmtId="44" fontId="0" fillId="0" borderId="9" xfId="0" applyNumberFormat="1" applyBorder="1"/>
    <xf numFmtId="44" fontId="0" fillId="0" borderId="10" xfId="0" applyNumberFormat="1" applyBorder="1"/>
    <xf numFmtId="44" fontId="0" fillId="0" borderId="11" xfId="0" applyNumberFormat="1" applyBorder="1"/>
    <xf numFmtId="44" fontId="0" fillId="0" borderId="0" xfId="0" applyNumberFormat="1"/>
    <xf numFmtId="44" fontId="0" fillId="0" borderId="12" xfId="0" applyNumberFormat="1" applyBorder="1"/>
    <xf numFmtId="0" fontId="0" fillId="0" borderId="11" xfId="0" applyBorder="1"/>
    <xf numFmtId="0" fontId="0" fillId="0" borderId="12" xfId="0" applyBorder="1" applyAlignment="1">
      <alignment vertical="center"/>
    </xf>
    <xf numFmtId="44" fontId="5" fillId="0" borderId="0" xfId="1" applyFont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/>
    </xf>
    <xf numFmtId="44" fontId="0" fillId="0" borderId="4" xfId="0" applyNumberFormat="1" applyBorder="1"/>
    <xf numFmtId="0" fontId="0" fillId="0" borderId="12" xfId="0" applyBorder="1"/>
    <xf numFmtId="44" fontId="0" fillId="0" borderId="2" xfId="0" applyNumberFormat="1" applyBorder="1"/>
    <xf numFmtId="44" fontId="0" fillId="0" borderId="3" xfId="0" applyNumberFormat="1" applyBorder="1"/>
    <xf numFmtId="44" fontId="4" fillId="0" borderId="13" xfId="0" applyNumberFormat="1" applyFont="1" applyBorder="1"/>
    <xf numFmtId="44" fontId="4" fillId="0" borderId="14" xfId="0" applyNumberFormat="1" applyFont="1" applyBorder="1"/>
    <xf numFmtId="0" fontId="0" fillId="4" borderId="1" xfId="0" applyFill="1" applyBorder="1"/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4" fontId="0" fillId="4" borderId="6" xfId="0" applyNumberFormat="1" applyFill="1" applyBorder="1" applyAlignment="1">
      <alignment horizontal="center"/>
    </xf>
    <xf numFmtId="44" fontId="0" fillId="4" borderId="5" xfId="0" applyNumberFormat="1" applyFill="1" applyBorder="1" applyAlignment="1">
      <alignment horizontal="center"/>
    </xf>
    <xf numFmtId="44" fontId="0" fillId="4" borderId="7" xfId="0" applyNumberFormat="1" applyFill="1" applyBorder="1" applyAlignment="1">
      <alignment horizontal="center"/>
    </xf>
    <xf numFmtId="44" fontId="0" fillId="4" borderId="1" xfId="0" applyNumberFormat="1" applyFill="1" applyBorder="1" applyAlignment="1">
      <alignment horizontal="center"/>
    </xf>
    <xf numFmtId="44" fontId="4" fillId="0" borderId="9" xfId="0" applyNumberFormat="1" applyFont="1" applyBorder="1"/>
    <xf numFmtId="44" fontId="4" fillId="0" borderId="10" xfId="0" applyNumberFormat="1" applyFont="1" applyBorder="1"/>
    <xf numFmtId="0" fontId="0" fillId="5" borderId="1" xfId="0" applyFill="1" applyBorder="1"/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44" fontId="0" fillId="5" borderId="6" xfId="0" applyNumberFormat="1" applyFill="1" applyBorder="1" applyAlignment="1">
      <alignment horizontal="center"/>
    </xf>
    <xf numFmtId="44" fontId="0" fillId="5" borderId="5" xfId="0" applyNumberFormat="1" applyFill="1" applyBorder="1" applyAlignment="1">
      <alignment horizontal="center"/>
    </xf>
    <xf numFmtId="44" fontId="0" fillId="5" borderId="7" xfId="0" applyNumberFormat="1" applyFill="1" applyBorder="1" applyAlignment="1">
      <alignment horizontal="center"/>
    </xf>
    <xf numFmtId="44" fontId="0" fillId="5" borderId="1" xfId="0" applyNumberFormat="1" applyFill="1" applyBorder="1" applyAlignment="1">
      <alignment horizontal="center"/>
    </xf>
    <xf numFmtId="44" fontId="0" fillId="0" borderId="15" xfId="0" applyNumberFormat="1" applyBorder="1"/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44" fontId="0" fillId="6" borderId="6" xfId="0" applyNumberFormat="1" applyFill="1" applyBorder="1" applyAlignment="1">
      <alignment horizontal="center"/>
    </xf>
    <xf numFmtId="44" fontId="0" fillId="6" borderId="5" xfId="0" applyNumberFormat="1" applyFill="1" applyBorder="1" applyAlignment="1">
      <alignment horizontal="center"/>
    </xf>
    <xf numFmtId="44" fontId="0" fillId="6" borderId="7" xfId="0" applyNumberFormat="1" applyFill="1" applyBorder="1" applyAlignment="1">
      <alignment horizontal="center"/>
    </xf>
    <xf numFmtId="0" fontId="0" fillId="0" borderId="2" xfId="0" applyBorder="1"/>
    <xf numFmtId="44" fontId="4" fillId="0" borderId="16" xfId="0" applyNumberFormat="1" applyFont="1" applyBorder="1"/>
    <xf numFmtId="44" fontId="4" fillId="0" borderId="0" xfId="0" applyNumberFormat="1" applyFont="1"/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44" fontId="0" fillId="7" borderId="6" xfId="0" applyNumberFormat="1" applyFill="1" applyBorder="1" applyAlignment="1">
      <alignment horizontal="center"/>
    </xf>
    <xf numFmtId="44" fontId="0" fillId="7" borderId="5" xfId="0" applyNumberFormat="1" applyFill="1" applyBorder="1" applyAlignment="1">
      <alignment horizontal="center"/>
    </xf>
    <xf numFmtId="44" fontId="0" fillId="7" borderId="7" xfId="0" applyNumberFormat="1" applyFill="1" applyBorder="1" applyAlignment="1">
      <alignment horizontal="center"/>
    </xf>
    <xf numFmtId="44" fontId="0" fillId="8" borderId="9" xfId="0" applyNumberFormat="1" applyFill="1" applyBorder="1"/>
    <xf numFmtId="44" fontId="0" fillId="8" borderId="10" xfId="0" applyNumberFormat="1" applyFill="1" applyBorder="1"/>
    <xf numFmtId="44" fontId="0" fillId="4" borderId="12" xfId="0" applyNumberFormat="1" applyFill="1" applyBorder="1"/>
    <xf numFmtId="44" fontId="0" fillId="9" borderId="3" xfId="0" applyNumberFormat="1" applyFill="1" applyBorder="1"/>
    <xf numFmtId="44" fontId="0" fillId="9" borderId="4" xfId="0" applyNumberFormat="1" applyFill="1" applyBorder="1"/>
    <xf numFmtId="44" fontId="3" fillId="0" borderId="0" xfId="1" applyFont="1"/>
    <xf numFmtId="44" fontId="8" fillId="0" borderId="0" xfId="1" applyFont="1"/>
    <xf numFmtId="44" fontId="9" fillId="0" borderId="0" xfId="1" applyFont="1"/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44" fontId="0" fillId="10" borderId="6" xfId="0" applyNumberFormat="1" applyFill="1" applyBorder="1" applyAlignment="1">
      <alignment horizontal="center"/>
    </xf>
    <xf numFmtId="44" fontId="0" fillId="10" borderId="5" xfId="0" applyNumberFormat="1" applyFill="1" applyBorder="1" applyAlignment="1">
      <alignment horizontal="center"/>
    </xf>
    <xf numFmtId="44" fontId="0" fillId="10" borderId="7" xfId="0" applyNumberFormat="1" applyFill="1" applyBorder="1" applyAlignment="1">
      <alignment horizontal="center"/>
    </xf>
    <xf numFmtId="44" fontId="0" fillId="0" borderId="13" xfId="0" applyNumberFormat="1" applyBorder="1"/>
    <xf numFmtId="44" fontId="0" fillId="0" borderId="14" xfId="0" applyNumberFormat="1" applyBorder="1"/>
    <xf numFmtId="0" fontId="10" fillId="0" borderId="0" xfId="0" applyFont="1"/>
    <xf numFmtId="44" fontId="11" fillId="0" borderId="13" xfId="0" applyNumberFormat="1" applyFont="1" applyBorder="1"/>
    <xf numFmtId="0" fontId="0" fillId="0" borderId="0" xfId="0" applyAlignment="1">
      <alignment horizontal="center"/>
    </xf>
    <xf numFmtId="44" fontId="10" fillId="0" borderId="0" xfId="0" applyNumberFormat="1" applyFont="1"/>
    <xf numFmtId="44" fontId="12" fillId="0" borderId="0" xfId="0" applyNumberFormat="1" applyFont="1"/>
    <xf numFmtId="44" fontId="2" fillId="0" borderId="0" xfId="1" applyFont="1" applyFill="1"/>
    <xf numFmtId="0" fontId="10" fillId="0" borderId="22" xfId="0" applyFont="1" applyBorder="1"/>
    <xf numFmtId="44" fontId="10" fillId="0" borderId="1" xfId="0" applyNumberFormat="1" applyFont="1" applyBorder="1"/>
    <xf numFmtId="44" fontId="10" fillId="0" borderId="1" xfId="1" applyFont="1" applyBorder="1"/>
    <xf numFmtId="0" fontId="10" fillId="0" borderId="1" xfId="0" applyFont="1" applyBorder="1"/>
    <xf numFmtId="0" fontId="10" fillId="0" borderId="22" xfId="0" applyFont="1" applyBorder="1" applyAlignment="1">
      <alignment horizontal="left"/>
    </xf>
    <xf numFmtId="44" fontId="10" fillId="0" borderId="19" xfId="0" applyNumberFormat="1" applyFont="1" applyBorder="1"/>
    <xf numFmtId="0" fontId="13" fillId="0" borderId="0" xfId="0" applyFont="1"/>
    <xf numFmtId="44" fontId="13" fillId="0" borderId="0" xfId="1" applyFont="1"/>
    <xf numFmtId="0" fontId="7" fillId="11" borderId="0" xfId="0" applyFont="1" applyFill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3" borderId="17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/>
    </xf>
    <xf numFmtId="0" fontId="15" fillId="12" borderId="4" xfId="0" applyFont="1" applyFill="1" applyBorder="1" applyAlignment="1">
      <alignment horizontal="center" vertical="center"/>
    </xf>
    <xf numFmtId="44" fontId="13" fillId="13" borderId="1" xfId="1" applyFont="1" applyFill="1" applyBorder="1"/>
    <xf numFmtId="44" fontId="13" fillId="6" borderId="1" xfId="1" applyFont="1" applyFill="1" applyBorder="1"/>
    <xf numFmtId="44" fontId="0" fillId="11" borderId="0" xfId="0" applyNumberFormat="1" applyFill="1" applyAlignment="1">
      <alignment horizontal="center"/>
    </xf>
    <xf numFmtId="0" fontId="13" fillId="12" borderId="7" xfId="0" applyFont="1" applyFill="1" applyBorder="1"/>
    <xf numFmtId="44" fontId="0" fillId="11" borderId="0" xfId="0" applyNumberFormat="1" applyFill="1"/>
    <xf numFmtId="44" fontId="13" fillId="0" borderId="7" xfId="1" applyFont="1" applyFill="1" applyBorder="1"/>
    <xf numFmtId="44" fontId="13" fillId="0" borderId="1" xfId="1" applyFont="1" applyBorder="1"/>
    <xf numFmtId="44" fontId="13" fillId="0" borderId="1" xfId="1" applyFont="1" applyFill="1" applyBorder="1"/>
    <xf numFmtId="44" fontId="4" fillId="11" borderId="0" xfId="0" applyNumberFormat="1" applyFont="1" applyFill="1"/>
    <xf numFmtId="44" fontId="16" fillId="0" borderId="7" xfId="1" applyFont="1" applyBorder="1"/>
    <xf numFmtId="44" fontId="13" fillId="0" borderId="7" xfId="1" applyFont="1" applyBorder="1"/>
    <xf numFmtId="44" fontId="16" fillId="0" borderId="7" xfId="0" applyNumberFormat="1" applyFont="1" applyBorder="1"/>
    <xf numFmtId="44" fontId="11" fillId="11" borderId="0" xfId="0" applyNumberFormat="1" applyFont="1" applyFill="1"/>
    <xf numFmtId="44" fontId="12" fillId="11" borderId="0" xfId="0" applyNumberFormat="1" applyFont="1" applyFill="1"/>
    <xf numFmtId="44" fontId="13" fillId="11" borderId="0" xfId="1" applyFont="1" applyFill="1" applyBorder="1"/>
    <xf numFmtId="44" fontId="13" fillId="11" borderId="0" xfId="0" applyNumberFormat="1" applyFont="1" applyFill="1"/>
    <xf numFmtId="44" fontId="13" fillId="0" borderId="0" xfId="0" applyNumberFormat="1" applyFont="1"/>
    <xf numFmtId="44" fontId="17" fillId="0" borderId="13" xfId="0" applyNumberFormat="1" applyFont="1" applyBorder="1"/>
    <xf numFmtId="44" fontId="10" fillId="14" borderId="1" xfId="1" applyFont="1" applyFill="1" applyBorder="1"/>
    <xf numFmtId="44" fontId="10" fillId="14" borderId="1" xfId="0" applyNumberFormat="1" applyFont="1" applyFill="1" applyBorder="1"/>
    <xf numFmtId="0" fontId="10" fillId="0" borderId="31" xfId="0" applyFont="1" applyBorder="1" applyAlignment="1">
      <alignment horizontal="left"/>
    </xf>
    <xf numFmtId="44" fontId="10" fillId="0" borderId="15" xfId="0" applyNumberFormat="1" applyFont="1" applyBorder="1"/>
    <xf numFmtId="0" fontId="10" fillId="0" borderId="15" xfId="0" applyFont="1" applyBorder="1"/>
    <xf numFmtId="44" fontId="10" fillId="14" borderId="15" xfId="0" applyNumberFormat="1" applyFont="1" applyFill="1" applyBorder="1"/>
    <xf numFmtId="44" fontId="19" fillId="3" borderId="22" xfId="0" applyNumberFormat="1" applyFont="1" applyFill="1" applyBorder="1" applyAlignment="1">
      <alignment horizontal="center"/>
    </xf>
    <xf numFmtId="44" fontId="19" fillId="3" borderId="1" xfId="0" applyNumberFormat="1" applyFont="1" applyFill="1" applyBorder="1" applyAlignment="1">
      <alignment horizontal="center"/>
    </xf>
    <xf numFmtId="44" fontId="19" fillId="3" borderId="15" xfId="1" applyFont="1" applyFill="1" applyBorder="1" applyAlignment="1">
      <alignment horizontal="center"/>
    </xf>
    <xf numFmtId="44" fontId="19" fillId="3" borderId="30" xfId="1" applyFont="1" applyFill="1" applyBorder="1" applyAlignment="1">
      <alignment horizontal="center"/>
    </xf>
    <xf numFmtId="44" fontId="10" fillId="0" borderId="23" xfId="1" applyFont="1" applyBorder="1"/>
    <xf numFmtId="44" fontId="10" fillId="0" borderId="0" xfId="1" applyFont="1"/>
    <xf numFmtId="44" fontId="10" fillId="0" borderId="28" xfId="1" applyFont="1" applyBorder="1"/>
    <xf numFmtId="44" fontId="22" fillId="0" borderId="0" xfId="1" applyFont="1"/>
    <xf numFmtId="44" fontId="21" fillId="0" borderId="0" xfId="1" applyFont="1"/>
    <xf numFmtId="44" fontId="20" fillId="14" borderId="15" xfId="1" applyFont="1" applyFill="1" applyBorder="1" applyAlignment="1">
      <alignment horizontal="center"/>
    </xf>
    <xf numFmtId="44" fontId="21" fillId="14" borderId="1" xfId="1" applyFont="1" applyFill="1" applyBorder="1"/>
    <xf numFmtId="44" fontId="19" fillId="14" borderId="15" xfId="1" applyFont="1" applyFill="1" applyBorder="1" applyAlignment="1">
      <alignment horizontal="center"/>
    </xf>
    <xf numFmtId="44" fontId="19" fillId="3" borderId="8" xfId="1" applyFont="1" applyFill="1" applyBorder="1" applyAlignment="1">
      <alignment horizontal="center"/>
    </xf>
    <xf numFmtId="44" fontId="10" fillId="0" borderId="5" xfId="1" applyFont="1" applyBorder="1"/>
    <xf numFmtId="44" fontId="10" fillId="0" borderId="5" xfId="1" applyFont="1" applyFill="1" applyBorder="1"/>
    <xf numFmtId="0" fontId="10" fillId="0" borderId="32" xfId="0" applyFont="1" applyBorder="1"/>
    <xf numFmtId="44" fontId="10" fillId="0" borderId="18" xfId="0" applyNumberFormat="1" applyFont="1" applyBorder="1"/>
    <xf numFmtId="44" fontId="10" fillId="0" borderId="18" xfId="1" applyFont="1" applyBorder="1"/>
    <xf numFmtId="44" fontId="10" fillId="14" borderId="18" xfId="1" applyFont="1" applyFill="1" applyBorder="1"/>
    <xf numFmtId="44" fontId="21" fillId="14" borderId="18" xfId="1" applyFont="1" applyFill="1" applyBorder="1"/>
    <xf numFmtId="44" fontId="10" fillId="0" borderId="2" xfId="1" applyFont="1" applyBorder="1"/>
    <xf numFmtId="44" fontId="10" fillId="0" borderId="2" xfId="1" applyFont="1" applyFill="1" applyBorder="1"/>
    <xf numFmtId="44" fontId="10" fillId="0" borderId="33" xfId="1" applyFont="1" applyBorder="1"/>
    <xf numFmtId="0" fontId="0" fillId="0" borderId="3" xfId="0" applyBorder="1"/>
    <xf numFmtId="0" fontId="10" fillId="0" borderId="32" xfId="0" applyFont="1" applyBorder="1" applyAlignment="1">
      <alignment horizontal="left"/>
    </xf>
    <xf numFmtId="0" fontId="10" fillId="0" borderId="18" xfId="0" applyFont="1" applyBorder="1"/>
    <xf numFmtId="44" fontId="10" fillId="14" borderId="18" xfId="0" applyNumberFormat="1" applyFont="1" applyFill="1" applyBorder="1"/>
    <xf numFmtId="0" fontId="0" fillId="0" borderId="27" xfId="0" applyBorder="1"/>
    <xf numFmtId="0" fontId="0" fillId="0" borderId="26" xfId="0" applyBorder="1"/>
    <xf numFmtId="44" fontId="23" fillId="3" borderId="35" xfId="0" applyNumberFormat="1" applyFont="1" applyFill="1" applyBorder="1" applyAlignment="1">
      <alignment horizontal="center"/>
    </xf>
    <xf numFmtId="44" fontId="23" fillId="3" borderId="29" xfId="0" applyNumberFormat="1" applyFont="1" applyFill="1" applyBorder="1" applyAlignment="1">
      <alignment horizontal="center"/>
    </xf>
    <xf numFmtId="0" fontId="10" fillId="0" borderId="24" xfId="0" applyFont="1" applyBorder="1"/>
    <xf numFmtId="44" fontId="24" fillId="3" borderId="29" xfId="1" applyFont="1" applyFill="1" applyBorder="1" applyAlignment="1">
      <alignment horizontal="center"/>
    </xf>
    <xf numFmtId="44" fontId="0" fillId="0" borderId="1" xfId="1" applyFont="1" applyBorder="1"/>
    <xf numFmtId="44" fontId="0" fillId="0" borderId="19" xfId="1" applyFont="1" applyBorder="1"/>
    <xf numFmtId="44" fontId="24" fillId="3" borderId="36" xfId="1" applyFont="1" applyFill="1" applyBorder="1" applyAlignment="1">
      <alignment horizontal="center"/>
    </xf>
    <xf numFmtId="44" fontId="0" fillId="0" borderId="5" xfId="1" applyFont="1" applyBorder="1"/>
    <xf numFmtId="44" fontId="0" fillId="0" borderId="20" xfId="1" applyFont="1" applyBorder="1"/>
    <xf numFmtId="44" fontId="0" fillId="0" borderId="37" xfId="1" applyFont="1" applyBorder="1"/>
    <xf numFmtId="0" fontId="0" fillId="14" borderId="1" xfId="0" applyFill="1" applyBorder="1"/>
    <xf numFmtId="0" fontId="0" fillId="14" borderId="19" xfId="0" applyFill="1" applyBorder="1"/>
    <xf numFmtId="0" fontId="7" fillId="3" borderId="36" xfId="0" applyFont="1" applyFill="1" applyBorder="1"/>
    <xf numFmtId="0" fontId="0" fillId="14" borderId="7" xfId="0" applyFill="1" applyBorder="1"/>
    <xf numFmtId="0" fontId="0" fillId="14" borderId="14" xfId="0" applyFill="1" applyBorder="1"/>
    <xf numFmtId="44" fontId="0" fillId="0" borderId="23" xfId="0" applyNumberFormat="1" applyBorder="1"/>
    <xf numFmtId="44" fontId="24" fillId="3" borderId="35" xfId="1" applyFont="1" applyFill="1" applyBorder="1" applyAlignment="1">
      <alignment horizontal="center"/>
    </xf>
    <xf numFmtId="0" fontId="0" fillId="14" borderId="29" xfId="0" applyFill="1" applyBorder="1"/>
    <xf numFmtId="0" fontId="0" fillId="14" borderId="34" xfId="0" applyFill="1" applyBorder="1"/>
    <xf numFmtId="0" fontId="7" fillId="3" borderId="39" xfId="0" applyFont="1" applyFill="1" applyBorder="1"/>
    <xf numFmtId="44" fontId="0" fillId="0" borderId="40" xfId="1" applyFont="1" applyBorder="1"/>
    <xf numFmtId="44" fontId="0" fillId="0" borderId="13" xfId="1" applyFont="1" applyBorder="1"/>
    <xf numFmtId="44" fontId="0" fillId="0" borderId="43" xfId="1" applyFont="1" applyBorder="1"/>
    <xf numFmtId="44" fontId="0" fillId="0" borderId="0" xfId="1" applyFont="1" applyBorder="1"/>
    <xf numFmtId="0" fontId="0" fillId="15" borderId="0" xfId="0" applyFill="1"/>
    <xf numFmtId="44" fontId="0" fillId="0" borderId="15" xfId="1" applyFont="1" applyBorder="1"/>
    <xf numFmtId="0" fontId="0" fillId="14" borderId="15" xfId="0" applyFill="1" applyBorder="1"/>
    <xf numFmtId="44" fontId="0" fillId="0" borderId="8" xfId="1" applyFont="1" applyBorder="1"/>
    <xf numFmtId="0" fontId="0" fillId="14" borderId="10" xfId="0" applyFill="1" applyBorder="1"/>
    <xf numFmtId="44" fontId="0" fillId="0" borderId="44" xfId="1" applyFont="1" applyBorder="1"/>
    <xf numFmtId="44" fontId="19" fillId="3" borderId="44" xfId="1" applyFont="1" applyFill="1" applyBorder="1"/>
    <xf numFmtId="0" fontId="10" fillId="0" borderId="31" xfId="0" applyFont="1" applyBorder="1"/>
    <xf numFmtId="44" fontId="10" fillId="0" borderId="0" xfId="1" applyFont="1" applyFill="1" applyBorder="1"/>
    <xf numFmtId="44" fontId="21" fillId="0" borderId="0" xfId="1" applyFont="1" applyFill="1" applyBorder="1"/>
    <xf numFmtId="44" fontId="24" fillId="3" borderId="39" xfId="1" applyFont="1" applyFill="1" applyBorder="1" applyAlignment="1">
      <alignment horizontal="center"/>
    </xf>
    <xf numFmtId="44" fontId="10" fillId="14" borderId="29" xfId="1" applyFont="1" applyFill="1" applyBorder="1"/>
    <xf numFmtId="44" fontId="20" fillId="14" borderId="29" xfId="1" applyFont="1" applyFill="1" applyBorder="1" applyAlignment="1">
      <alignment horizontal="center"/>
    </xf>
    <xf numFmtId="44" fontId="19" fillId="14" borderId="29" xfId="1" applyFont="1" applyFill="1" applyBorder="1" applyAlignment="1">
      <alignment horizontal="center"/>
    </xf>
    <xf numFmtId="44" fontId="10" fillId="0" borderId="19" xfId="1" applyFont="1" applyBorder="1"/>
    <xf numFmtId="44" fontId="10" fillId="14" borderId="19" xfId="1" applyFont="1" applyFill="1" applyBorder="1"/>
    <xf numFmtId="44" fontId="21" fillId="14" borderId="19" xfId="1" applyFont="1" applyFill="1" applyBorder="1"/>
    <xf numFmtId="44" fontId="10" fillId="0" borderId="20" xfId="1" applyFont="1" applyBorder="1"/>
    <xf numFmtId="44" fontId="10" fillId="0" borderId="20" xfId="1" applyFont="1" applyFill="1" applyBorder="1"/>
    <xf numFmtId="44" fontId="10" fillId="0" borderId="37" xfId="1" applyFont="1" applyBorder="1"/>
    <xf numFmtId="44" fontId="19" fillId="16" borderId="44" xfId="1" applyFont="1" applyFill="1" applyBorder="1"/>
    <xf numFmtId="44" fontId="19" fillId="12" borderId="44" xfId="1" applyFont="1" applyFill="1" applyBorder="1"/>
    <xf numFmtId="44" fontId="19" fillId="0" borderId="0" xfId="1" applyFont="1" applyFill="1" applyBorder="1"/>
    <xf numFmtId="44" fontId="0" fillId="0" borderId="0" xfId="1" applyFont="1" applyFill="1"/>
    <xf numFmtId="44" fontId="0" fillId="0" borderId="0" xfId="1" applyFont="1" applyFill="1" applyBorder="1"/>
    <xf numFmtId="44" fontId="19" fillId="0" borderId="44" xfId="1" applyFont="1" applyBorder="1"/>
    <xf numFmtId="44" fontId="19" fillId="0" borderId="0" xfId="1" applyFont="1"/>
    <xf numFmtId="44" fontId="19" fillId="0" borderId="0" xfId="1" applyFont="1" applyBorder="1"/>
    <xf numFmtId="44" fontId="25" fillId="16" borderId="44" xfId="1" applyFont="1" applyFill="1" applyBorder="1"/>
    <xf numFmtId="44" fontId="25" fillId="0" borderId="0" xfId="1" applyFont="1" applyFill="1" applyBorder="1"/>
    <xf numFmtId="0" fontId="28" fillId="18" borderId="46" xfId="0" applyFont="1" applyFill="1" applyBorder="1" applyAlignment="1">
      <alignment horizontal="center"/>
    </xf>
    <xf numFmtId="0" fontId="28" fillId="18" borderId="47" xfId="0" applyFont="1" applyFill="1" applyBorder="1" applyAlignment="1">
      <alignment horizontal="center"/>
    </xf>
    <xf numFmtId="0" fontId="28" fillId="18" borderId="48" xfId="0" applyFont="1" applyFill="1" applyBorder="1" applyAlignment="1">
      <alignment horizontal="center"/>
    </xf>
    <xf numFmtId="164" fontId="0" fillId="0" borderId="49" xfId="0" applyNumberFormat="1" applyBorder="1"/>
    <xf numFmtId="0" fontId="0" fillId="0" borderId="49" xfId="0" applyBorder="1" applyAlignment="1">
      <alignment horizontal="center"/>
    </xf>
    <xf numFmtId="165" fontId="0" fillId="0" borderId="0" xfId="0" applyNumberFormat="1" applyAlignment="1">
      <alignment horizontal="right"/>
    </xf>
    <xf numFmtId="165" fontId="28" fillId="19" borderId="0" xfId="0" applyNumberFormat="1" applyFont="1" applyFill="1" applyAlignment="1">
      <alignment horizontal="center" vertical="center" wrapText="1"/>
    </xf>
    <xf numFmtId="0" fontId="26" fillId="17" borderId="0" xfId="0" applyFont="1" applyFill="1" applyAlignment="1">
      <alignment horizontal="center" vertical="center"/>
    </xf>
    <xf numFmtId="0" fontId="27" fillId="1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4" fillId="6" borderId="15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4" fillId="13" borderId="1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9" borderId="41" xfId="0" applyFont="1" applyFill="1" applyBorder="1" applyAlignment="1">
      <alignment horizontal="center"/>
    </xf>
    <xf numFmtId="0" fontId="7" fillId="9" borderId="28" xfId="0" applyFont="1" applyFill="1" applyBorder="1" applyAlignment="1">
      <alignment horizontal="center"/>
    </xf>
    <xf numFmtId="0" fontId="7" fillId="9" borderId="42" xfId="0" applyFont="1" applyFill="1" applyBorder="1" applyAlignment="1">
      <alignment horizontal="center"/>
    </xf>
    <xf numFmtId="0" fontId="18" fillId="15" borderId="25" xfId="0" applyFont="1" applyFill="1" applyBorder="1" applyAlignment="1">
      <alignment horizontal="center"/>
    </xf>
    <xf numFmtId="0" fontId="18" fillId="15" borderId="21" xfId="0" applyFont="1" applyFill="1" applyBorder="1" applyAlignment="1">
      <alignment horizontal="center"/>
    </xf>
    <xf numFmtId="0" fontId="18" fillId="15" borderId="38" xfId="0" applyFont="1" applyFill="1" applyBorder="1" applyAlignment="1">
      <alignment horizontal="center"/>
    </xf>
    <xf numFmtId="44" fontId="18" fillId="9" borderId="34" xfId="1" applyFont="1" applyFill="1" applyBorder="1" applyAlignment="1">
      <alignment horizontal="center"/>
    </xf>
    <xf numFmtId="44" fontId="18" fillId="9" borderId="21" xfId="1" applyFont="1" applyFill="1" applyBorder="1" applyAlignment="1">
      <alignment horizontal="center"/>
    </xf>
    <xf numFmtId="44" fontId="18" fillId="9" borderId="38" xfId="1" applyFont="1" applyFill="1" applyBorder="1" applyAlignment="1">
      <alignment horizontal="center"/>
    </xf>
    <xf numFmtId="44" fontId="18" fillId="9" borderId="45" xfId="1" applyFont="1" applyFill="1" applyBorder="1" applyAlignment="1">
      <alignment horizontal="center"/>
    </xf>
    <xf numFmtId="0" fontId="26" fillId="17" borderId="0" xfId="0" applyFont="1" applyFill="1" applyAlignment="1">
      <alignment horizontal="left"/>
    </xf>
  </cellXfs>
  <cellStyles count="2">
    <cellStyle name="Currency" xfId="1" xr:uid="{00000000-0005-0000-0000-000000000000}"/>
    <cellStyle name="Normal" xfId="0" builtinId="0"/>
  </cellStyles>
  <dxfs count="56"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Terex TLB 820 (TLB01)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Data'!$B$3:$B$14</c:f>
              <c:numCache>
                <c:formatCode>"R"\ #\ ##0.00;[Red]\("R"\ #\ ##0.00\);\-</c:formatCode>
                <c:ptCount val="12"/>
                <c:pt idx="0">
                  <c:v>21896</c:v>
                </c:pt>
                <c:pt idx="1">
                  <c:v>55222.999999999993</c:v>
                </c:pt>
                <c:pt idx="2">
                  <c:v>67781</c:v>
                </c:pt>
                <c:pt idx="3">
                  <c:v>44758</c:v>
                </c:pt>
                <c:pt idx="4">
                  <c:v>49427</c:v>
                </c:pt>
                <c:pt idx="5">
                  <c:v>49427</c:v>
                </c:pt>
                <c:pt idx="6">
                  <c:v>68264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57-463A-BFEE-A5D239B238C3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Data'!$C$3:$C$14</c:f>
              <c:numCache>
                <c:formatCode>"R"\ #\ ##0.00;[Red]\("R"\ #\ ##0.00\);\-</c:formatCode>
                <c:ptCount val="12"/>
                <c:pt idx="0">
                  <c:v>23691.030000000002</c:v>
                </c:pt>
                <c:pt idx="1">
                  <c:v>28665.230000000003</c:v>
                </c:pt>
                <c:pt idx="2">
                  <c:v>29149.730000000003</c:v>
                </c:pt>
                <c:pt idx="3">
                  <c:v>29537.33</c:v>
                </c:pt>
                <c:pt idx="4">
                  <c:v>30215.63</c:v>
                </c:pt>
                <c:pt idx="5">
                  <c:v>29634.230000000003</c:v>
                </c:pt>
                <c:pt idx="6">
                  <c:v>29731.13</c:v>
                </c:pt>
                <c:pt idx="7">
                  <c:v>30893.93</c:v>
                </c:pt>
                <c:pt idx="8">
                  <c:v>18070.830000000002</c:v>
                </c:pt>
                <c:pt idx="9">
                  <c:v>18070.830000000002</c:v>
                </c:pt>
                <c:pt idx="10">
                  <c:v>18070.830000000002</c:v>
                </c:pt>
                <c:pt idx="11">
                  <c:v>18070.830000000002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57-463A-BFEE-A5D239B238C3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Data'!$D$3:$D$14</c:f>
              <c:numCache>
                <c:formatCode>"R"\ #\ ##0.00;[Red]\("R"\ #\ ##0.00\);\-</c:formatCode>
                <c:ptCount val="12"/>
                <c:pt idx="0">
                  <c:v>-1795.0300000000025</c:v>
                </c:pt>
                <c:pt idx="1">
                  <c:v>26557.76999999999</c:v>
                </c:pt>
                <c:pt idx="2">
                  <c:v>38631.269999999997</c:v>
                </c:pt>
                <c:pt idx="3">
                  <c:v>15220.669999999998</c:v>
                </c:pt>
                <c:pt idx="4">
                  <c:v>19211.37</c:v>
                </c:pt>
                <c:pt idx="5">
                  <c:v>19792.769999999997</c:v>
                </c:pt>
                <c:pt idx="6">
                  <c:v>38532.869999999995</c:v>
                </c:pt>
                <c:pt idx="7">
                  <c:v>-30893.93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57-463A-BFEE-A5D239B238C3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Data'!$A$3:$A$14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Data'!$E$3:$E$14</c:f>
              <c:numCache>
                <c:formatCode>\R\ #\ ##0.00;[Red]\(\R\ #\ ##0.00\);\-</c:formatCode>
                <c:ptCount val="12"/>
                <c:pt idx="0">
                  <c:v>1897.5</c:v>
                </c:pt>
                <c:pt idx="1">
                  <c:v>37327.25</c:v>
                </c:pt>
                <c:pt idx="2">
                  <c:v>3160.1</c:v>
                </c:pt>
                <c:pt idx="3">
                  <c:v>451.05</c:v>
                </c:pt>
                <c:pt idx="4">
                  <c:v>0</c:v>
                </c:pt>
                <c:pt idx="5">
                  <c:v>0</c:v>
                </c:pt>
                <c:pt idx="6">
                  <c:v>28181.52</c:v>
                </c:pt>
                <c:pt idx="7">
                  <c:v>2195.4699999999998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57-463A-BFEE-A5D239B23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CAT 425F (428E) (TLB02)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Data'!$A$18:$A$29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Data'!$B$18:$B$29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D-4EC5-BE1F-A6FADE375738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Data'!$A$18:$A$29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Data'!$C$18:$C$29</c:f>
              <c:numCache>
                <c:formatCode>"R"\ #\ ##0.00;[Red]\("R"\ #\ ##0.00\);\-</c:formatCode>
                <c:ptCount val="12"/>
                <c:pt idx="0">
                  <c:v>35432.899999999994</c:v>
                </c:pt>
                <c:pt idx="1">
                  <c:v>41102.43</c:v>
                </c:pt>
                <c:pt idx="2">
                  <c:v>35619.81</c:v>
                </c:pt>
                <c:pt idx="3">
                  <c:v>40209.42</c:v>
                </c:pt>
                <c:pt idx="4">
                  <c:v>41725.449999999997</c:v>
                </c:pt>
                <c:pt idx="5">
                  <c:v>43573.759999999995</c:v>
                </c:pt>
                <c:pt idx="6">
                  <c:v>41164.729999999996</c:v>
                </c:pt>
                <c:pt idx="7">
                  <c:v>41455.47</c:v>
                </c:pt>
                <c:pt idx="8">
                  <c:v>24779.17</c:v>
                </c:pt>
                <c:pt idx="9">
                  <c:v>24779.17</c:v>
                </c:pt>
                <c:pt idx="10">
                  <c:v>24779.17</c:v>
                </c:pt>
                <c:pt idx="11">
                  <c:v>24779.17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D-4EC5-BE1F-A6FADE375738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Data'!$A$18:$A$29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Data'!$D$18:$D$29</c:f>
              <c:numCache>
                <c:formatCode>"R"\ #\ ##0.00;[Red]\("R"\ #\ ##0.00\);\-</c:formatCode>
                <c:ptCount val="12"/>
                <c:pt idx="0">
                  <c:v>-35432.899999999994</c:v>
                </c:pt>
                <c:pt idx="1">
                  <c:v>-41102.43</c:v>
                </c:pt>
                <c:pt idx="2">
                  <c:v>-35619.81</c:v>
                </c:pt>
                <c:pt idx="3">
                  <c:v>-40209.42</c:v>
                </c:pt>
                <c:pt idx="4">
                  <c:v>-41725.449999999997</c:v>
                </c:pt>
                <c:pt idx="5">
                  <c:v>-43573.759999999995</c:v>
                </c:pt>
                <c:pt idx="6">
                  <c:v>-41164.729999999996</c:v>
                </c:pt>
                <c:pt idx="7">
                  <c:v>-41455.47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D-4EC5-BE1F-A6FADE375738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Data'!$A$18:$A$29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Data'!$E$18:$E$29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7374</c:v>
                </c:pt>
                <c:pt idx="3">
                  <c:v>13096.9</c:v>
                </c:pt>
                <c:pt idx="4">
                  <c:v>25176.9</c:v>
                </c:pt>
                <c:pt idx="5">
                  <c:v>956.02</c:v>
                </c:pt>
                <c:pt idx="6">
                  <c:v>36443.5</c:v>
                </c:pt>
                <c:pt idx="7">
                  <c:v>78491.539999999994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D-4EC5-BE1F-A6FADE375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Terex TLB 820 (TLB03)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Data'!$A$33:$A$44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Data'!$B$33:$B$44</c:f>
              <c:numCache>
                <c:formatCode>"R"\ #\ ##0.00;[Red]\("R"\ #\ ##0.00\);\-</c:formatCode>
                <c:ptCount val="12"/>
                <c:pt idx="0">
                  <c:v>14006.999999999998</c:v>
                </c:pt>
                <c:pt idx="1">
                  <c:v>48299.999999999993</c:v>
                </c:pt>
                <c:pt idx="2">
                  <c:v>65365.999999999993</c:v>
                </c:pt>
                <c:pt idx="3">
                  <c:v>31395</c:v>
                </c:pt>
                <c:pt idx="4">
                  <c:v>38479</c:v>
                </c:pt>
                <c:pt idx="5">
                  <c:v>55867</c:v>
                </c:pt>
                <c:pt idx="6">
                  <c:v>9177</c:v>
                </c:pt>
                <c:pt idx="7">
                  <c:v>50876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99-4752-B73D-91DC099C258D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Data'!$A$33:$A$44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Data'!$C$33:$C$44</c:f>
              <c:numCache>
                <c:formatCode>"R"\ #\ ##0.00;[Red]\("R"\ #\ ##0.00\);\-</c:formatCode>
                <c:ptCount val="12"/>
                <c:pt idx="0">
                  <c:v>24508.030000000002</c:v>
                </c:pt>
                <c:pt idx="1">
                  <c:v>32444.81</c:v>
                </c:pt>
                <c:pt idx="2">
                  <c:v>30616.06</c:v>
                </c:pt>
                <c:pt idx="3">
                  <c:v>30469.760000000002</c:v>
                </c:pt>
                <c:pt idx="4">
                  <c:v>31512.14</c:v>
                </c:pt>
                <c:pt idx="5">
                  <c:v>33249.46</c:v>
                </c:pt>
                <c:pt idx="6">
                  <c:v>30798.93</c:v>
                </c:pt>
                <c:pt idx="7">
                  <c:v>34072.39</c:v>
                </c:pt>
                <c:pt idx="8">
                  <c:v>18070.830000000002</c:v>
                </c:pt>
                <c:pt idx="9">
                  <c:v>18070.830000000002</c:v>
                </c:pt>
                <c:pt idx="10">
                  <c:v>18070.830000000002</c:v>
                </c:pt>
                <c:pt idx="11">
                  <c:v>18070.830000000002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99-4752-B73D-91DC099C258D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Data'!$A$33:$A$44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Data'!$D$33:$D$44</c:f>
              <c:numCache>
                <c:formatCode>"R"\ #\ ##0.00;[Red]\("R"\ #\ ##0.00\);\-</c:formatCode>
                <c:ptCount val="12"/>
                <c:pt idx="0">
                  <c:v>-10501.030000000004</c:v>
                </c:pt>
                <c:pt idx="1">
                  <c:v>15855.189999999991</c:v>
                </c:pt>
                <c:pt idx="2">
                  <c:v>34749.939999999988</c:v>
                </c:pt>
                <c:pt idx="3">
                  <c:v>925.23999999999796</c:v>
                </c:pt>
                <c:pt idx="4">
                  <c:v>6966.8600000000006</c:v>
                </c:pt>
                <c:pt idx="5">
                  <c:v>22617.54</c:v>
                </c:pt>
                <c:pt idx="6">
                  <c:v>-21621.93</c:v>
                </c:pt>
                <c:pt idx="7">
                  <c:v>16803.61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99-4752-B73D-91DC099C258D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Data'!$A$33:$A$44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Data'!$E$33:$E$44</c:f>
              <c:numCache>
                <c:formatCode>\R\ #\ ##0.00;[Red]\(\R\ #\ ##0.00\);\-</c:formatCode>
                <c:ptCount val="12"/>
                <c:pt idx="0">
                  <c:v>9776.34</c:v>
                </c:pt>
                <c:pt idx="1">
                  <c:v>1655.8</c:v>
                </c:pt>
                <c:pt idx="2">
                  <c:v>0</c:v>
                </c:pt>
                <c:pt idx="3">
                  <c:v>767.86</c:v>
                </c:pt>
                <c:pt idx="4">
                  <c:v>9313.119999999999</c:v>
                </c:pt>
                <c:pt idx="5">
                  <c:v>21383.09</c:v>
                </c:pt>
                <c:pt idx="6">
                  <c:v>33024.550000000003</c:v>
                </c:pt>
                <c:pt idx="7">
                  <c:v>4720.1400000000003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99-4752-B73D-91DC099C2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BELL TLB (TLB04)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Data'!$A$48:$A$59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Data'!$B$48:$B$59</c:f>
              <c:numCache>
                <c:formatCode>"R"\ #\ ##0.00;[Red]\("R"\ #\ ##0.00\);\-</c:formatCode>
                <c:ptCount val="12"/>
                <c:pt idx="0">
                  <c:v>33327</c:v>
                </c:pt>
                <c:pt idx="1">
                  <c:v>53612.999999999993</c:v>
                </c:pt>
                <c:pt idx="2">
                  <c:v>40089</c:v>
                </c:pt>
                <c:pt idx="3">
                  <c:v>50071</c:v>
                </c:pt>
                <c:pt idx="4">
                  <c:v>56994</c:v>
                </c:pt>
                <c:pt idx="5">
                  <c:v>44275</c:v>
                </c:pt>
                <c:pt idx="6">
                  <c:v>71484</c:v>
                </c:pt>
                <c:pt idx="7">
                  <c:v>50554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E-498E-9ECA-4C6C91496DF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Data'!$A$48:$A$59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Data'!$C$48:$C$59</c:f>
              <c:numCache>
                <c:formatCode>"R"\ #\ ##0.00;[Red]\("R"\ #\ ##0.00\);\-</c:formatCode>
                <c:ptCount val="12"/>
                <c:pt idx="0">
                  <c:v>27045.200000000001</c:v>
                </c:pt>
                <c:pt idx="1">
                  <c:v>34151.199999999997</c:v>
                </c:pt>
                <c:pt idx="2">
                  <c:v>32180.9</c:v>
                </c:pt>
                <c:pt idx="3">
                  <c:v>33262.949999999997</c:v>
                </c:pt>
                <c:pt idx="4">
                  <c:v>35330.15</c:v>
                </c:pt>
                <c:pt idx="5">
                  <c:v>35265.550000000003</c:v>
                </c:pt>
                <c:pt idx="6">
                  <c:v>34587.25</c:v>
                </c:pt>
                <c:pt idx="7">
                  <c:v>34877.949999999997</c:v>
                </c:pt>
                <c:pt idx="8">
                  <c:v>21425</c:v>
                </c:pt>
                <c:pt idx="9">
                  <c:v>21425</c:v>
                </c:pt>
                <c:pt idx="10">
                  <c:v>21425</c:v>
                </c:pt>
                <c:pt idx="11">
                  <c:v>21425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1E-498E-9ECA-4C6C91496DF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Data'!$A$48:$A$59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Data'!$D$48:$D$59</c:f>
              <c:numCache>
                <c:formatCode>"R"\ #\ ##0.00;[Red]\("R"\ #\ ##0.00\);\-</c:formatCode>
                <c:ptCount val="12"/>
                <c:pt idx="0">
                  <c:v>6281.7999999999993</c:v>
                </c:pt>
                <c:pt idx="1">
                  <c:v>19461.799999999996</c:v>
                </c:pt>
                <c:pt idx="2">
                  <c:v>7908.0999999999985</c:v>
                </c:pt>
                <c:pt idx="3">
                  <c:v>16808.050000000003</c:v>
                </c:pt>
                <c:pt idx="4">
                  <c:v>21663.85</c:v>
                </c:pt>
                <c:pt idx="5">
                  <c:v>9009.4499999999971</c:v>
                </c:pt>
                <c:pt idx="6">
                  <c:v>36896.75</c:v>
                </c:pt>
                <c:pt idx="7">
                  <c:v>15676.050000000003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1E-498E-9ECA-4C6C91496DF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Data'!$A$48:$A$59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Data'!$E$48:$E$59</c:f>
              <c:numCache>
                <c:formatCode>\R\ #\ ##0.00;[Red]\(\R\ #\ ##0.00\);\-</c:formatCode>
                <c:ptCount val="12"/>
                <c:pt idx="0">
                  <c:v>1473.7199999999998</c:v>
                </c:pt>
                <c:pt idx="1">
                  <c:v>12790.3</c:v>
                </c:pt>
                <c:pt idx="2">
                  <c:v>15922.25</c:v>
                </c:pt>
                <c:pt idx="3">
                  <c:v>0</c:v>
                </c:pt>
                <c:pt idx="4">
                  <c:v>7030.56</c:v>
                </c:pt>
                <c:pt idx="5">
                  <c:v>3800</c:v>
                </c:pt>
                <c:pt idx="6">
                  <c:v>0</c:v>
                </c:pt>
                <c:pt idx="7">
                  <c:v>2109.9499999999998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B1E-498E-9ECA-4C6C91496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 TLB (TLB05)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Data'!$A$63:$A$74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Data'!$B$63:$B$74</c:f>
              <c:numCache>
                <c:formatCode>"R"\ #\ ##0.00;[Red]\("R"\ #\ ##0.00\);\-</c:formatCode>
                <c:ptCount val="12"/>
                <c:pt idx="0">
                  <c:v>33327</c:v>
                </c:pt>
                <c:pt idx="1">
                  <c:v>53290.999999999993</c:v>
                </c:pt>
                <c:pt idx="2">
                  <c:v>62306.999999999993</c:v>
                </c:pt>
                <c:pt idx="3">
                  <c:v>44275</c:v>
                </c:pt>
                <c:pt idx="4">
                  <c:v>49266</c:v>
                </c:pt>
                <c:pt idx="5">
                  <c:v>61663</c:v>
                </c:pt>
                <c:pt idx="6">
                  <c:v>68425</c:v>
                </c:pt>
                <c:pt idx="7">
                  <c:v>53613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C6-49EB-B643-7FD945D68747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Data'!$A$63:$A$74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Data'!$C$63:$C$74</c:f>
              <c:numCache>
                <c:formatCode>"R"\ #\ ##0.00;[Red]\("R"\ #\ ##0.00\);\-</c:formatCode>
                <c:ptCount val="12"/>
                <c:pt idx="0">
                  <c:v>57318.2</c:v>
                </c:pt>
                <c:pt idx="1">
                  <c:v>62841.03</c:v>
                </c:pt>
                <c:pt idx="2">
                  <c:v>64157.729999999996</c:v>
                </c:pt>
                <c:pt idx="3">
                  <c:v>63609.1</c:v>
                </c:pt>
                <c:pt idx="4">
                  <c:v>65657.3</c:v>
                </c:pt>
                <c:pt idx="5">
                  <c:v>68162.69</c:v>
                </c:pt>
                <c:pt idx="6">
                  <c:v>64980.66</c:v>
                </c:pt>
                <c:pt idx="7">
                  <c:v>66809.41</c:v>
                </c:pt>
                <c:pt idx="8">
                  <c:v>51612.5</c:v>
                </c:pt>
                <c:pt idx="9">
                  <c:v>51612.5</c:v>
                </c:pt>
                <c:pt idx="10">
                  <c:v>51612.5</c:v>
                </c:pt>
                <c:pt idx="11">
                  <c:v>51612.5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C6-49EB-B643-7FD945D68747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Data'!$A$63:$A$74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Data'!$D$63:$D$74</c:f>
              <c:numCache>
                <c:formatCode>"R"\ #\ ##0.00;[Red]\("R"\ #\ ##0.00\);\-</c:formatCode>
                <c:ptCount val="12"/>
                <c:pt idx="0">
                  <c:v>-23991.199999999997</c:v>
                </c:pt>
                <c:pt idx="1">
                  <c:v>-9550.0300000000061</c:v>
                </c:pt>
                <c:pt idx="2">
                  <c:v>-1850.7300000000032</c:v>
                </c:pt>
                <c:pt idx="3">
                  <c:v>-19334.099999999999</c:v>
                </c:pt>
                <c:pt idx="4">
                  <c:v>-16391.300000000003</c:v>
                </c:pt>
                <c:pt idx="5">
                  <c:v>-6499.6900000000023</c:v>
                </c:pt>
                <c:pt idx="6">
                  <c:v>3444.3399999999965</c:v>
                </c:pt>
                <c:pt idx="7">
                  <c:v>-13196.410000000003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C6-49EB-B643-7FD945D68747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Data'!$A$63:$A$74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Data'!$E$63:$E$74</c:f>
              <c:numCache>
                <c:formatCode>\R\ #\ ##0.00;[Red]\(\R\ #\ ##0.00\);\-</c:formatCode>
                <c:ptCount val="12"/>
                <c:pt idx="0">
                  <c:v>3371.61</c:v>
                </c:pt>
                <c:pt idx="1">
                  <c:v>1439</c:v>
                </c:pt>
                <c:pt idx="2">
                  <c:v>2422.94</c:v>
                </c:pt>
                <c:pt idx="3">
                  <c:v>4887.8500000000004</c:v>
                </c:pt>
                <c:pt idx="4">
                  <c:v>248</c:v>
                </c:pt>
                <c:pt idx="5">
                  <c:v>1052.92</c:v>
                </c:pt>
                <c:pt idx="6">
                  <c:v>5000.3500000000004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C6-49EB-B643-7FD945D68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 TLB (TLB06)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Data'!$A$78:$A$89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Data'!$B$78:$B$89</c:f>
              <c:numCache>
                <c:formatCode>"R"\ #\ ##0.00;[Red]\("R"\ #\ ##0.00\);\-</c:formatCode>
                <c:ptCount val="12"/>
                <c:pt idx="0">
                  <c:v>33327</c:v>
                </c:pt>
                <c:pt idx="1">
                  <c:v>54772.2</c:v>
                </c:pt>
                <c:pt idx="2">
                  <c:v>63916.999999999993</c:v>
                </c:pt>
                <c:pt idx="3">
                  <c:v>47817</c:v>
                </c:pt>
                <c:pt idx="4">
                  <c:v>45724</c:v>
                </c:pt>
                <c:pt idx="5">
                  <c:v>49427</c:v>
                </c:pt>
                <c:pt idx="6">
                  <c:v>68747</c:v>
                </c:pt>
                <c:pt idx="7">
                  <c:v>51037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7-402D-8F5B-D8A2C5FA25AD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Data'!$A$78:$A$89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Data'!$C$78:$C$89</c:f>
              <c:numCache>
                <c:formatCode>"R"\ #\ ##0.00;[Red]\("R"\ #\ ##0.00\);\-</c:formatCode>
                <c:ptCount val="12"/>
                <c:pt idx="0">
                  <c:v>37058.29</c:v>
                </c:pt>
                <c:pt idx="1">
                  <c:v>44099.69</c:v>
                </c:pt>
                <c:pt idx="2">
                  <c:v>41321.89</c:v>
                </c:pt>
                <c:pt idx="3">
                  <c:v>42516.99</c:v>
                </c:pt>
                <c:pt idx="4">
                  <c:v>43001.49</c:v>
                </c:pt>
                <c:pt idx="5">
                  <c:v>43276.04</c:v>
                </c:pt>
                <c:pt idx="6">
                  <c:v>43001.49</c:v>
                </c:pt>
                <c:pt idx="7">
                  <c:v>45310.94</c:v>
                </c:pt>
                <c:pt idx="8">
                  <c:v>31438.09</c:v>
                </c:pt>
                <c:pt idx="9">
                  <c:v>31438.09</c:v>
                </c:pt>
                <c:pt idx="10">
                  <c:v>31438.09</c:v>
                </c:pt>
                <c:pt idx="11">
                  <c:v>31438.09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67-402D-8F5B-D8A2C5FA25AD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Data'!$A$78:$A$89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Data'!$D$78:$D$89</c:f>
              <c:numCache>
                <c:formatCode>"R"\ #\ ##0.00;[Red]\("R"\ #\ ##0.00\);\-</c:formatCode>
                <c:ptCount val="12"/>
                <c:pt idx="0">
                  <c:v>-3731.2900000000009</c:v>
                </c:pt>
                <c:pt idx="1">
                  <c:v>10672.509999999995</c:v>
                </c:pt>
                <c:pt idx="2">
                  <c:v>22595.109999999993</c:v>
                </c:pt>
                <c:pt idx="3">
                  <c:v>5300.010000000002</c:v>
                </c:pt>
                <c:pt idx="4">
                  <c:v>2722.510000000002</c:v>
                </c:pt>
                <c:pt idx="5">
                  <c:v>6150.9599999999991</c:v>
                </c:pt>
                <c:pt idx="6">
                  <c:v>25745.510000000002</c:v>
                </c:pt>
                <c:pt idx="7">
                  <c:v>5726.0599999999977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67-402D-8F5B-D8A2C5FA25AD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Data'!$A$78:$A$89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Data'!$E$78:$E$89</c:f>
              <c:numCache>
                <c:formatCode>\R\ #\ ##0.00;[Red]\(\R\ #\ ##0.00\);\-</c:formatCode>
                <c:ptCount val="12"/>
                <c:pt idx="0">
                  <c:v>3315</c:v>
                </c:pt>
                <c:pt idx="1">
                  <c:v>7374.33</c:v>
                </c:pt>
                <c:pt idx="2">
                  <c:v>0</c:v>
                </c:pt>
                <c:pt idx="3">
                  <c:v>4875.93</c:v>
                </c:pt>
                <c:pt idx="4">
                  <c:v>7877.5</c:v>
                </c:pt>
                <c:pt idx="5">
                  <c:v>0</c:v>
                </c:pt>
                <c:pt idx="6">
                  <c:v>15522.85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67-402D-8F5B-D8A2C5FA2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 TLB (TLB07)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Data'!$A$93:$A$104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Data'!$B$93:$B$104</c:f>
              <c:numCache>
                <c:formatCode>"R"\ #\ ##0.00;[Red]\("R"\ #\ ##0.00\);\-</c:formatCode>
                <c:ptCount val="12"/>
                <c:pt idx="0">
                  <c:v>33327</c:v>
                </c:pt>
                <c:pt idx="1">
                  <c:v>54578.999999999993</c:v>
                </c:pt>
                <c:pt idx="2">
                  <c:v>60696.999999999993</c:v>
                </c:pt>
                <c:pt idx="3">
                  <c:v>43631</c:v>
                </c:pt>
                <c:pt idx="4">
                  <c:v>53452</c:v>
                </c:pt>
                <c:pt idx="5">
                  <c:v>55062</c:v>
                </c:pt>
                <c:pt idx="6">
                  <c:v>73577</c:v>
                </c:pt>
                <c:pt idx="7">
                  <c:v>51520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D7-4912-B712-50B39404554D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Data'!$A$93:$A$104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Data'!$C$93:$C$104</c:f>
              <c:numCache>
                <c:formatCode>"R"\ #\ ##0.00;[Red]\("R"\ #\ ##0.00\);\-</c:formatCode>
                <c:ptCount val="12"/>
                <c:pt idx="0">
                  <c:v>38236.83</c:v>
                </c:pt>
                <c:pt idx="1">
                  <c:v>45342.83</c:v>
                </c:pt>
                <c:pt idx="2">
                  <c:v>43695.53</c:v>
                </c:pt>
                <c:pt idx="3">
                  <c:v>41951.33</c:v>
                </c:pt>
                <c:pt idx="4">
                  <c:v>38435.630000000005</c:v>
                </c:pt>
                <c:pt idx="5">
                  <c:v>44346.630000000005</c:v>
                </c:pt>
                <c:pt idx="6">
                  <c:v>44841.630000000005</c:v>
                </c:pt>
                <c:pt idx="7">
                  <c:v>44661.630000000005</c:v>
                </c:pt>
                <c:pt idx="8">
                  <c:v>32616.63</c:v>
                </c:pt>
                <c:pt idx="9">
                  <c:v>32616.63</c:v>
                </c:pt>
                <c:pt idx="10">
                  <c:v>32616.63</c:v>
                </c:pt>
                <c:pt idx="11">
                  <c:v>32616.63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D7-4912-B712-50B39404554D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Data'!$A$93:$A$104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Data'!$D$93:$D$104</c:f>
              <c:numCache>
                <c:formatCode>"R"\ #\ ##0.00;[Red]\("R"\ #\ ##0.00\);\-</c:formatCode>
                <c:ptCount val="12"/>
                <c:pt idx="0">
                  <c:v>-4909.8300000000017</c:v>
                </c:pt>
                <c:pt idx="1">
                  <c:v>9236.169999999991</c:v>
                </c:pt>
                <c:pt idx="2">
                  <c:v>17001.469999999994</c:v>
                </c:pt>
                <c:pt idx="3">
                  <c:v>1679.6699999999983</c:v>
                </c:pt>
                <c:pt idx="4">
                  <c:v>15016.369999999995</c:v>
                </c:pt>
                <c:pt idx="5">
                  <c:v>10715.369999999995</c:v>
                </c:pt>
                <c:pt idx="6">
                  <c:v>28735.369999999995</c:v>
                </c:pt>
                <c:pt idx="7">
                  <c:v>6858.3699999999953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D7-4912-B712-50B39404554D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Data'!$A$93:$A$104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Data'!$E$93:$E$104</c:f>
              <c:numCache>
                <c:formatCode>\R\ #\ ##0.00;[Red]\(\R\ #\ ##0.00\);\-</c:formatCode>
                <c:ptCount val="12"/>
                <c:pt idx="0">
                  <c:v>6078.4400000000005</c:v>
                </c:pt>
                <c:pt idx="1">
                  <c:v>25788.62</c:v>
                </c:pt>
                <c:pt idx="2">
                  <c:v>2580.19</c:v>
                </c:pt>
                <c:pt idx="3">
                  <c:v>346</c:v>
                </c:pt>
                <c:pt idx="4">
                  <c:v>2383.56</c:v>
                </c:pt>
                <c:pt idx="5">
                  <c:v>0</c:v>
                </c:pt>
                <c:pt idx="6">
                  <c:v>5000.3500000000004</c:v>
                </c:pt>
                <c:pt idx="7">
                  <c:v>1644.5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D7-4912-B712-50B394045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CASE420 (430) (SS01)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Data'!$A$108:$A$119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Data'!$B$108:$B$119</c:f>
              <c:numCache>
                <c:formatCode>"R"\ #\ ##0.00;[Red]\("R"\ #\ ##0.00\);\-</c:formatCode>
                <c:ptCount val="12"/>
                <c:pt idx="0">
                  <c:v>25874.999999999996</c:v>
                </c:pt>
                <c:pt idx="1">
                  <c:v>29784.999999999996</c:v>
                </c:pt>
                <c:pt idx="2">
                  <c:v>40825</c:v>
                </c:pt>
                <c:pt idx="3">
                  <c:v>34500</c:v>
                </c:pt>
                <c:pt idx="4">
                  <c:v>32775</c:v>
                </c:pt>
                <c:pt idx="5">
                  <c:v>38065</c:v>
                </c:pt>
                <c:pt idx="6">
                  <c:v>47840</c:v>
                </c:pt>
                <c:pt idx="7">
                  <c:v>35880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A-4293-AD04-202901CBF807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Data'!$A$108:$A$119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Data'!$C$108:$C$119</c:f>
              <c:numCache>
                <c:formatCode>"R"\ #\ ##0.00;[Red]\("R"\ #\ ##0.00\);\-</c:formatCode>
                <c:ptCount val="12"/>
                <c:pt idx="0">
                  <c:v>18678.45</c:v>
                </c:pt>
                <c:pt idx="1">
                  <c:v>23507.3</c:v>
                </c:pt>
                <c:pt idx="2">
                  <c:v>22441.4</c:v>
                </c:pt>
                <c:pt idx="3">
                  <c:v>22441.4</c:v>
                </c:pt>
                <c:pt idx="4">
                  <c:v>22925.9</c:v>
                </c:pt>
                <c:pt idx="5">
                  <c:v>24750.85</c:v>
                </c:pt>
                <c:pt idx="6">
                  <c:v>21407.8</c:v>
                </c:pt>
                <c:pt idx="7">
                  <c:v>25057.7</c:v>
                </c:pt>
                <c:pt idx="8">
                  <c:v>11362.5</c:v>
                </c:pt>
                <c:pt idx="9">
                  <c:v>11362.5</c:v>
                </c:pt>
                <c:pt idx="10">
                  <c:v>11362.5</c:v>
                </c:pt>
                <c:pt idx="11">
                  <c:v>11362.5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0A-4293-AD04-202901CBF807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Data'!$A$108:$A$119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Data'!$D$108:$D$119</c:f>
              <c:numCache>
                <c:formatCode>"R"\ #\ ##0.00;[Red]\("R"\ #\ ##0.00\);\-</c:formatCode>
                <c:ptCount val="12"/>
                <c:pt idx="0">
                  <c:v>7196.5499999999956</c:v>
                </c:pt>
                <c:pt idx="1">
                  <c:v>6277.6999999999971</c:v>
                </c:pt>
                <c:pt idx="2">
                  <c:v>18383.599999999999</c:v>
                </c:pt>
                <c:pt idx="3">
                  <c:v>12058.599999999999</c:v>
                </c:pt>
                <c:pt idx="4">
                  <c:v>9849.0999999999985</c:v>
                </c:pt>
                <c:pt idx="5">
                  <c:v>13314.150000000001</c:v>
                </c:pt>
                <c:pt idx="6">
                  <c:v>26432.2</c:v>
                </c:pt>
                <c:pt idx="7">
                  <c:v>10822.3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0A-4293-AD04-202901CBF807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Data'!$A$108:$A$119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Data'!$E$108:$E$119</c:f>
              <c:numCache>
                <c:formatCode>\R\ #\ ##0.00;[Red]\(\R\ #\ ##0.00\);\-</c:formatCode>
                <c:ptCount val="12"/>
                <c:pt idx="0">
                  <c:v>1378.8150000000001</c:v>
                </c:pt>
                <c:pt idx="1">
                  <c:v>2794.5</c:v>
                </c:pt>
                <c:pt idx="2">
                  <c:v>3226.15</c:v>
                </c:pt>
                <c:pt idx="3">
                  <c:v>0</c:v>
                </c:pt>
                <c:pt idx="4">
                  <c:v>1417.57</c:v>
                </c:pt>
                <c:pt idx="5">
                  <c:v>0</c:v>
                </c:pt>
                <c:pt idx="6">
                  <c:v>0</c:v>
                </c:pt>
                <c:pt idx="7">
                  <c:v>1482.35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0A-4293-AD04-202901CB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CASE420 (430) (SS02)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Data'!$A$123:$A$134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Data'!$B$123:$B$134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36800</c:v>
                </c:pt>
                <c:pt idx="2">
                  <c:v>41515</c:v>
                </c:pt>
                <c:pt idx="3">
                  <c:v>34385</c:v>
                </c:pt>
                <c:pt idx="4">
                  <c:v>33350</c:v>
                </c:pt>
                <c:pt idx="5">
                  <c:v>35190</c:v>
                </c:pt>
                <c:pt idx="6">
                  <c:v>45310</c:v>
                </c:pt>
                <c:pt idx="7">
                  <c:v>33695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40-4173-B0EF-71582C152C0E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Data'!$A$123:$A$134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Data'!$C$123:$C$134</c:f>
              <c:numCache>
                <c:formatCode>"R"\ #\ ##0.00;[Red]\("R"\ #\ ##0.00\);\-</c:formatCode>
                <c:ptCount val="12"/>
                <c:pt idx="0">
                  <c:v>17854.8</c:v>
                </c:pt>
                <c:pt idx="1">
                  <c:v>24088.7</c:v>
                </c:pt>
                <c:pt idx="2">
                  <c:v>22441.4</c:v>
                </c:pt>
                <c:pt idx="3">
                  <c:v>22441.4</c:v>
                </c:pt>
                <c:pt idx="4">
                  <c:v>23507.3</c:v>
                </c:pt>
                <c:pt idx="5">
                  <c:v>22925.9</c:v>
                </c:pt>
                <c:pt idx="6">
                  <c:v>21860</c:v>
                </c:pt>
                <c:pt idx="7">
                  <c:v>24185.599999999999</c:v>
                </c:pt>
                <c:pt idx="8">
                  <c:v>11362.5</c:v>
                </c:pt>
                <c:pt idx="9">
                  <c:v>11362.5</c:v>
                </c:pt>
                <c:pt idx="10">
                  <c:v>11362.5</c:v>
                </c:pt>
                <c:pt idx="11">
                  <c:v>11362.5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40-4173-B0EF-71582C152C0E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Data'!$A$123:$A$134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Data'!$D$123:$D$134</c:f>
              <c:numCache>
                <c:formatCode>"R"\ #\ ##0.00;[Red]\("R"\ #\ ##0.00\);\-</c:formatCode>
                <c:ptCount val="12"/>
                <c:pt idx="0">
                  <c:v>-17854.8</c:v>
                </c:pt>
                <c:pt idx="1">
                  <c:v>12711.3</c:v>
                </c:pt>
                <c:pt idx="2">
                  <c:v>19073.599999999999</c:v>
                </c:pt>
                <c:pt idx="3">
                  <c:v>11943.599999999999</c:v>
                </c:pt>
                <c:pt idx="4">
                  <c:v>9842.7000000000007</c:v>
                </c:pt>
                <c:pt idx="5">
                  <c:v>12264.099999999999</c:v>
                </c:pt>
                <c:pt idx="6">
                  <c:v>23450</c:v>
                </c:pt>
                <c:pt idx="7">
                  <c:v>9509.4000000000015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40-4173-B0EF-71582C152C0E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Data'!$A$123:$A$134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Data'!$E$123:$E$134</c:f>
              <c:numCache>
                <c:formatCode>\R\ #\ ##0.00;[Red]\(\R\ #\ ##0.00\);\-</c:formatCode>
                <c:ptCount val="12"/>
                <c:pt idx="0">
                  <c:v>9332.2150000000001</c:v>
                </c:pt>
                <c:pt idx="1">
                  <c:v>2794.5</c:v>
                </c:pt>
                <c:pt idx="2">
                  <c:v>0</c:v>
                </c:pt>
                <c:pt idx="3">
                  <c:v>0</c:v>
                </c:pt>
                <c:pt idx="4">
                  <c:v>1417.57</c:v>
                </c:pt>
                <c:pt idx="5">
                  <c:v>0</c:v>
                </c:pt>
                <c:pt idx="6">
                  <c:v>3225</c:v>
                </c:pt>
                <c:pt idx="7">
                  <c:v>6118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40-4173-B0EF-71582C152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CAT 2,4TON RV (RV01)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Data'!$A$138:$A$149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Data'!$B$138:$B$149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16275.374999999998</c:v>
                </c:pt>
                <c:pt idx="2">
                  <c:v>41699</c:v>
                </c:pt>
                <c:pt idx="3">
                  <c:v>31593.38</c:v>
                </c:pt>
                <c:pt idx="4">
                  <c:v>31699.75</c:v>
                </c:pt>
                <c:pt idx="5">
                  <c:v>20104.88</c:v>
                </c:pt>
                <c:pt idx="6">
                  <c:v>47017.75</c:v>
                </c:pt>
                <c:pt idx="7">
                  <c:v>33614.5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06-454F-9AFE-88DF99CE6C13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Data'!$A$138:$A$149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Data'!$C$138:$C$149</c:f>
              <c:numCache>
                <c:formatCode>"R"\ #\ ##0.00;[Red]\("R"\ #\ ##0.00\);\-</c:formatCode>
                <c:ptCount val="12"/>
                <c:pt idx="0">
                  <c:v>14716.67</c:v>
                </c:pt>
                <c:pt idx="1">
                  <c:v>14716.67</c:v>
                </c:pt>
                <c:pt idx="2">
                  <c:v>14716.67</c:v>
                </c:pt>
                <c:pt idx="3">
                  <c:v>14716.67</c:v>
                </c:pt>
                <c:pt idx="4">
                  <c:v>14716.67</c:v>
                </c:pt>
                <c:pt idx="5">
                  <c:v>14716.67</c:v>
                </c:pt>
                <c:pt idx="6">
                  <c:v>14716.67</c:v>
                </c:pt>
                <c:pt idx="7">
                  <c:v>14716.67</c:v>
                </c:pt>
                <c:pt idx="8">
                  <c:v>14716.67</c:v>
                </c:pt>
                <c:pt idx="9">
                  <c:v>14716.67</c:v>
                </c:pt>
                <c:pt idx="10">
                  <c:v>14716.67</c:v>
                </c:pt>
                <c:pt idx="11">
                  <c:v>14716.67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06-454F-9AFE-88DF99CE6C13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Data'!$A$138:$A$149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Data'!$D$138:$D$149</c:f>
              <c:numCache>
                <c:formatCode>"R"\ #\ ##0.00;[Red]\("R"\ #\ ##0.00\);\-</c:formatCode>
                <c:ptCount val="12"/>
                <c:pt idx="0">
                  <c:v>-14716.67</c:v>
                </c:pt>
                <c:pt idx="1">
                  <c:v>1558.7049999999981</c:v>
                </c:pt>
                <c:pt idx="2">
                  <c:v>26982.33</c:v>
                </c:pt>
                <c:pt idx="3">
                  <c:v>16876.71</c:v>
                </c:pt>
                <c:pt idx="4">
                  <c:v>16983.080000000002</c:v>
                </c:pt>
                <c:pt idx="5">
                  <c:v>5388.2100000000009</c:v>
                </c:pt>
                <c:pt idx="6">
                  <c:v>32301.08</c:v>
                </c:pt>
                <c:pt idx="7">
                  <c:v>18897.830000000002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06-454F-9AFE-88DF99CE6C13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Data'!$A$138:$A$149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Data'!$E$138:$E$149</c:f>
              <c:numCache>
                <c:formatCode>\R\ #\ ##0.00;[Red]\(\R\ #\ ##0.00\);\-</c:formatCode>
                <c:ptCount val="12"/>
                <c:pt idx="0">
                  <c:v>2657.58</c:v>
                </c:pt>
                <c:pt idx="1">
                  <c:v>460</c:v>
                </c:pt>
                <c:pt idx="2">
                  <c:v>0</c:v>
                </c:pt>
                <c:pt idx="3">
                  <c:v>890</c:v>
                </c:pt>
                <c:pt idx="4">
                  <c:v>4245</c:v>
                </c:pt>
                <c:pt idx="5">
                  <c:v>7772.4699999999993</c:v>
                </c:pt>
                <c:pt idx="6">
                  <c:v>0</c:v>
                </c:pt>
                <c:pt idx="7">
                  <c:v>4209.71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06-454F-9AFE-88DF99CE6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CAT 12TON RV (RV03)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Data'!$A$153:$A$164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Data'!$B$153:$B$164</c:f>
              <c:numCache>
                <c:formatCode>"R"\ #\ ##0.00;[Red]\("R"\ #\ ##0.00\);\-</c:formatCode>
                <c:ptCount val="12"/>
                <c:pt idx="0">
                  <c:v>29531.999999999996</c:v>
                </c:pt>
                <c:pt idx="1">
                  <c:v>47333.999999999993</c:v>
                </c:pt>
                <c:pt idx="2">
                  <c:v>54095.999999999993</c:v>
                </c:pt>
                <c:pt idx="3">
                  <c:v>40986</c:v>
                </c:pt>
                <c:pt idx="4">
                  <c:v>41538</c:v>
                </c:pt>
                <c:pt idx="5">
                  <c:v>52440</c:v>
                </c:pt>
                <c:pt idx="6">
                  <c:v>56994</c:v>
                </c:pt>
                <c:pt idx="7">
                  <c:v>46644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1-4F37-A7D0-BACBA5B1812B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Data'!$A$153:$A$164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Data'!$C$153:$C$164</c:f>
              <c:numCache>
                <c:formatCode>"R"\ #\ ##0.00;[Red]\("R"\ #\ ##0.00\);\-</c:formatCode>
                <c:ptCount val="12"/>
                <c:pt idx="0">
                  <c:v>14716.67</c:v>
                </c:pt>
                <c:pt idx="1">
                  <c:v>14716.67</c:v>
                </c:pt>
                <c:pt idx="2">
                  <c:v>14716.67</c:v>
                </c:pt>
                <c:pt idx="3">
                  <c:v>14716.67</c:v>
                </c:pt>
                <c:pt idx="4">
                  <c:v>14716.67</c:v>
                </c:pt>
                <c:pt idx="5">
                  <c:v>14716.67</c:v>
                </c:pt>
                <c:pt idx="6">
                  <c:v>14716.67</c:v>
                </c:pt>
                <c:pt idx="7">
                  <c:v>14716.67</c:v>
                </c:pt>
                <c:pt idx="8">
                  <c:v>14716.67</c:v>
                </c:pt>
                <c:pt idx="9">
                  <c:v>14716.67</c:v>
                </c:pt>
                <c:pt idx="10">
                  <c:v>14716.67</c:v>
                </c:pt>
                <c:pt idx="11">
                  <c:v>14716.67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D1-4F37-A7D0-BACBA5B1812B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Data'!$A$153:$A$164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Data'!$D$153:$D$164</c:f>
              <c:numCache>
                <c:formatCode>"R"\ #\ ##0.00;[Red]\("R"\ #\ ##0.00\);\-</c:formatCode>
                <c:ptCount val="12"/>
                <c:pt idx="0">
                  <c:v>14815.329999999996</c:v>
                </c:pt>
                <c:pt idx="1">
                  <c:v>32617.329999999994</c:v>
                </c:pt>
                <c:pt idx="2">
                  <c:v>39379.329999999994</c:v>
                </c:pt>
                <c:pt idx="3">
                  <c:v>26269.33</c:v>
                </c:pt>
                <c:pt idx="4">
                  <c:v>26821.33</c:v>
                </c:pt>
                <c:pt idx="5">
                  <c:v>37723.33</c:v>
                </c:pt>
                <c:pt idx="6">
                  <c:v>42277.33</c:v>
                </c:pt>
                <c:pt idx="7">
                  <c:v>31927.33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D1-4F37-A7D0-BACBA5B1812B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Data'!$A$153:$A$164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Data'!$E$153:$E$164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110</c:v>
                </c:pt>
                <c:pt idx="3">
                  <c:v>0</c:v>
                </c:pt>
                <c:pt idx="4">
                  <c:v>962.63</c:v>
                </c:pt>
                <c:pt idx="5">
                  <c:v>0</c:v>
                </c:pt>
                <c:pt idx="6">
                  <c:v>3219.0099999999998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1-4F37-A7D0-BACBA5B18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Case Compactor (RV04)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Data'!$A$168:$A$179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Data'!$B$168:$B$179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33534</c:v>
                </c:pt>
                <c:pt idx="2">
                  <c:v>57821.999999999993</c:v>
                </c:pt>
                <c:pt idx="3">
                  <c:v>11040</c:v>
                </c:pt>
                <c:pt idx="4">
                  <c:v>41952</c:v>
                </c:pt>
                <c:pt idx="5">
                  <c:v>42366</c:v>
                </c:pt>
                <c:pt idx="6">
                  <c:v>58788</c:v>
                </c:pt>
                <c:pt idx="7">
                  <c:v>41124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A-49D8-A5C6-046AC7F4B16C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Data'!$A$168:$A$179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Data'!$C$168:$C$179</c:f>
              <c:numCache>
                <c:formatCode>"R"\ #\ ##0.00;[Red]\("R"\ #\ ##0.00\);\-</c:formatCode>
                <c:ptCount val="12"/>
                <c:pt idx="0">
                  <c:v>38304.449999999997</c:v>
                </c:pt>
                <c:pt idx="1">
                  <c:v>42212.75</c:v>
                </c:pt>
                <c:pt idx="2">
                  <c:v>40694.65</c:v>
                </c:pt>
                <c:pt idx="3">
                  <c:v>42148.15</c:v>
                </c:pt>
                <c:pt idx="4">
                  <c:v>42245.05</c:v>
                </c:pt>
                <c:pt idx="5">
                  <c:v>42212.75</c:v>
                </c:pt>
                <c:pt idx="6">
                  <c:v>41760.550000000003</c:v>
                </c:pt>
                <c:pt idx="7">
                  <c:v>42341.95</c:v>
                </c:pt>
                <c:pt idx="8">
                  <c:v>30100.25</c:v>
                </c:pt>
                <c:pt idx="9">
                  <c:v>30100.25</c:v>
                </c:pt>
                <c:pt idx="10">
                  <c:v>30100.25</c:v>
                </c:pt>
                <c:pt idx="11">
                  <c:v>30100.25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0A-49D8-A5C6-046AC7F4B16C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Data'!$A$168:$A$179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Data'!$D$168:$D$179</c:f>
              <c:numCache>
                <c:formatCode>"R"\ #\ ##0.00;[Red]\("R"\ #\ ##0.00\);\-</c:formatCode>
                <c:ptCount val="12"/>
                <c:pt idx="0">
                  <c:v>-38304.449999999997</c:v>
                </c:pt>
                <c:pt idx="1">
                  <c:v>-8678.75</c:v>
                </c:pt>
                <c:pt idx="2">
                  <c:v>17127.349999999991</c:v>
                </c:pt>
                <c:pt idx="3">
                  <c:v>-31108.15</c:v>
                </c:pt>
                <c:pt idx="4">
                  <c:v>-293.05000000000291</c:v>
                </c:pt>
                <c:pt idx="5">
                  <c:v>153.25</c:v>
                </c:pt>
                <c:pt idx="6">
                  <c:v>17027.449999999997</c:v>
                </c:pt>
                <c:pt idx="7">
                  <c:v>-1217.9499999999971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0A-49D8-A5C6-046AC7F4B16C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Data'!$A$168:$A$179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Data'!$E$168:$E$179</c:f>
              <c:numCache>
                <c:formatCode>\R\ #\ ##0.00;[Red]\(\R\ #\ ##0.00\);\-</c:formatCode>
                <c:ptCount val="12"/>
                <c:pt idx="0">
                  <c:v>2279.85</c:v>
                </c:pt>
                <c:pt idx="1">
                  <c:v>3890</c:v>
                </c:pt>
                <c:pt idx="2">
                  <c:v>6080</c:v>
                </c:pt>
                <c:pt idx="3">
                  <c:v>17682.560000000001</c:v>
                </c:pt>
                <c:pt idx="4">
                  <c:v>734.27</c:v>
                </c:pt>
                <c:pt idx="5">
                  <c:v>79.900000000000006</c:v>
                </c:pt>
                <c:pt idx="6">
                  <c:v>6239.68</c:v>
                </c:pt>
                <c:pt idx="7">
                  <c:v>958.64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0A-49D8-A5C6-046AC7F4B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DEZZI GRADER (MG01)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Data'!$A$183:$A$194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Data'!$B$183:$B$194</c:f>
              <c:numCache>
                <c:formatCode>"R"\ #\ ##0.00;[Red]\("R"\ #\ ##0.00\);\-</c:formatCode>
                <c:ptCount val="12"/>
                <c:pt idx="0">
                  <c:v>41063.625</c:v>
                </c:pt>
                <c:pt idx="1">
                  <c:v>60504.374999999993</c:v>
                </c:pt>
                <c:pt idx="2">
                  <c:v>77961.375</c:v>
                </c:pt>
                <c:pt idx="3">
                  <c:v>59512.5</c:v>
                </c:pt>
                <c:pt idx="4">
                  <c:v>59710.879999999997</c:v>
                </c:pt>
                <c:pt idx="5">
                  <c:v>75580.88</c:v>
                </c:pt>
                <c:pt idx="6">
                  <c:v>81333.759999999995</c:v>
                </c:pt>
                <c:pt idx="7">
                  <c:v>60702.75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27-40D5-BD7C-E3EDFFEB395F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Data'!$A$183:$A$194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Data'!$C$183:$C$194</c:f>
              <c:numCache>
                <c:formatCode>"R"\ #\ ##0.00;[Red]\("R"\ #\ ##0.00\);\-</c:formatCode>
                <c:ptCount val="12"/>
                <c:pt idx="0">
                  <c:v>50524.369999999995</c:v>
                </c:pt>
                <c:pt idx="1">
                  <c:v>57630.369999999995</c:v>
                </c:pt>
                <c:pt idx="2">
                  <c:v>58171.72</c:v>
                </c:pt>
                <c:pt idx="3">
                  <c:v>56079.97</c:v>
                </c:pt>
                <c:pt idx="4">
                  <c:v>57307.369999999995</c:v>
                </c:pt>
                <c:pt idx="5">
                  <c:v>56467.57</c:v>
                </c:pt>
                <c:pt idx="6">
                  <c:v>56241.47</c:v>
                </c:pt>
                <c:pt idx="7">
                  <c:v>60312.88</c:v>
                </c:pt>
                <c:pt idx="8">
                  <c:v>44904.17</c:v>
                </c:pt>
                <c:pt idx="9">
                  <c:v>44904.17</c:v>
                </c:pt>
                <c:pt idx="10">
                  <c:v>44904.17</c:v>
                </c:pt>
                <c:pt idx="11">
                  <c:v>44904.17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27-40D5-BD7C-E3EDFFEB395F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Data'!$A$183:$A$194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Data'!$D$183:$D$194</c:f>
              <c:numCache>
                <c:formatCode>"R"\ #\ ##0.00;[Red]\("R"\ #\ ##0.00\);\-</c:formatCode>
                <c:ptCount val="12"/>
                <c:pt idx="0">
                  <c:v>-9460.7449999999953</c:v>
                </c:pt>
                <c:pt idx="1">
                  <c:v>2874.0049999999974</c:v>
                </c:pt>
                <c:pt idx="2">
                  <c:v>19789.654999999999</c:v>
                </c:pt>
                <c:pt idx="3">
                  <c:v>3432.5299999999988</c:v>
                </c:pt>
                <c:pt idx="4">
                  <c:v>2403.510000000002</c:v>
                </c:pt>
                <c:pt idx="5">
                  <c:v>19113.310000000005</c:v>
                </c:pt>
                <c:pt idx="6">
                  <c:v>25092.289999999994</c:v>
                </c:pt>
                <c:pt idx="7">
                  <c:v>389.87000000000262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27-40D5-BD7C-E3EDFFEB395F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Data'!$A$183:$A$194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Data'!$E$183:$E$194</c:f>
              <c:numCache>
                <c:formatCode>\R\ #\ ##0.00;[Red]\(\R\ #\ ##0.00\);\-</c:formatCode>
                <c:ptCount val="12"/>
                <c:pt idx="0">
                  <c:v>22620.53</c:v>
                </c:pt>
                <c:pt idx="1">
                  <c:v>322</c:v>
                </c:pt>
                <c:pt idx="2">
                  <c:v>1913</c:v>
                </c:pt>
                <c:pt idx="3">
                  <c:v>2277</c:v>
                </c:pt>
                <c:pt idx="4">
                  <c:v>3940.7350000000001</c:v>
                </c:pt>
                <c:pt idx="5">
                  <c:v>29262.329999999998</c:v>
                </c:pt>
                <c:pt idx="6">
                  <c:v>4497.1900000000005</c:v>
                </c:pt>
                <c:pt idx="7">
                  <c:v>9667.9050000000007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27-40D5-BD7C-E3EDFFEB3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DEZZI GRADER (MG02)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Data'!$A$198:$A$209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Data'!$B$198:$B$209</c:f>
              <c:numCache>
                <c:formatCode>"R"\ #\ ##0.00;[Red]\("R"\ #\ ##0.00\);\-</c:formatCode>
                <c:ptCount val="12"/>
                <c:pt idx="0">
                  <c:v>47609.999999999993</c:v>
                </c:pt>
                <c:pt idx="1">
                  <c:v>65265.374999999993</c:v>
                </c:pt>
                <c:pt idx="2">
                  <c:v>76374.375</c:v>
                </c:pt>
                <c:pt idx="3">
                  <c:v>58719.009999999995</c:v>
                </c:pt>
                <c:pt idx="4">
                  <c:v>59710.879999999997</c:v>
                </c:pt>
                <c:pt idx="5">
                  <c:v>74192.25</c:v>
                </c:pt>
                <c:pt idx="6">
                  <c:v>94029.75</c:v>
                </c:pt>
                <c:pt idx="7">
                  <c:v>49792.130000000005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E6-4185-B18D-6901B882961D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Data'!$A$198:$A$209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Data'!$C$198:$C$209</c:f>
              <c:numCache>
                <c:formatCode>"R"\ #\ ##0.00;[Red]\("R"\ #\ ##0.00\);\-</c:formatCode>
                <c:ptCount val="12"/>
                <c:pt idx="0">
                  <c:v>30163.27</c:v>
                </c:pt>
                <c:pt idx="1">
                  <c:v>36644.1</c:v>
                </c:pt>
                <c:pt idx="2">
                  <c:v>32097.440000000002</c:v>
                </c:pt>
                <c:pt idx="3">
                  <c:v>34579.410000000003</c:v>
                </c:pt>
                <c:pt idx="4">
                  <c:v>36376.46</c:v>
                </c:pt>
                <c:pt idx="5">
                  <c:v>38804.380000000005</c:v>
                </c:pt>
                <c:pt idx="6">
                  <c:v>35649.990000000005</c:v>
                </c:pt>
                <c:pt idx="7">
                  <c:v>33744.740000000005</c:v>
                </c:pt>
                <c:pt idx="8">
                  <c:v>21503.040000000001</c:v>
                </c:pt>
                <c:pt idx="9">
                  <c:v>21503.040000000001</c:v>
                </c:pt>
                <c:pt idx="10">
                  <c:v>21503.040000000001</c:v>
                </c:pt>
                <c:pt idx="11">
                  <c:v>21503.040000000001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E6-4185-B18D-6901B882961D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Data'!$A$198:$A$209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Data'!$D$198:$D$209</c:f>
              <c:numCache>
                <c:formatCode>"R"\ #\ ##0.00;[Red]\("R"\ #\ ##0.00\);\-</c:formatCode>
                <c:ptCount val="12"/>
                <c:pt idx="0">
                  <c:v>17446.729999999992</c:v>
                </c:pt>
                <c:pt idx="1">
                  <c:v>28621.274999999994</c:v>
                </c:pt>
                <c:pt idx="2">
                  <c:v>44276.934999999998</c:v>
                </c:pt>
                <c:pt idx="3">
                  <c:v>24139.599999999991</c:v>
                </c:pt>
                <c:pt idx="4">
                  <c:v>23334.42</c:v>
                </c:pt>
                <c:pt idx="5">
                  <c:v>35387.869999999995</c:v>
                </c:pt>
                <c:pt idx="6">
                  <c:v>58379.759999999995</c:v>
                </c:pt>
                <c:pt idx="7">
                  <c:v>16047.39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E6-4185-B18D-6901B882961D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Data'!$A$198:$A$209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Data'!$E$198:$E$209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4342.3999999999996</c:v>
                </c:pt>
                <c:pt idx="2">
                  <c:v>4959.95</c:v>
                </c:pt>
                <c:pt idx="3">
                  <c:v>2277</c:v>
                </c:pt>
                <c:pt idx="4">
                  <c:v>6375.2849999999999</c:v>
                </c:pt>
                <c:pt idx="5">
                  <c:v>22787.25</c:v>
                </c:pt>
                <c:pt idx="6">
                  <c:v>4991.6900000000005</c:v>
                </c:pt>
                <c:pt idx="7">
                  <c:v>8074.5750000000007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E6-4185-B18D-6901B8829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ISUZU 800 (CT01)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Data'!$A$213:$A$224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Data'!$B$213:$B$224</c:f>
              <c:numCache>
                <c:formatCode>"R"\ #\ ##0.00;[Red]\("R"\ #\ ##0.00\);\-</c:formatCode>
                <c:ptCount val="12"/>
                <c:pt idx="0">
                  <c:v>69287.5</c:v>
                </c:pt>
                <c:pt idx="1">
                  <c:v>89527.5</c:v>
                </c:pt>
                <c:pt idx="2">
                  <c:v>81995</c:v>
                </c:pt>
                <c:pt idx="3">
                  <c:v>69736</c:v>
                </c:pt>
                <c:pt idx="4">
                  <c:v>64538</c:v>
                </c:pt>
                <c:pt idx="5">
                  <c:v>60260</c:v>
                </c:pt>
                <c:pt idx="6">
                  <c:v>76187.5</c:v>
                </c:pt>
                <c:pt idx="7">
                  <c:v>72392.5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77-42C4-95CE-466DA781686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Data'!$A$213:$A$224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Data'!$C$213:$C$224</c:f>
              <c:numCache>
                <c:formatCode>"R"\ #\ ##0.00;[Red]\("R"\ #\ ##0.00\);\-</c:formatCode>
                <c:ptCount val="12"/>
                <c:pt idx="0">
                  <c:v>45267.039999999994</c:v>
                </c:pt>
                <c:pt idx="1">
                  <c:v>38464.089999999997</c:v>
                </c:pt>
                <c:pt idx="2">
                  <c:v>38464.089999999997</c:v>
                </c:pt>
                <c:pt idx="3">
                  <c:v>50398.09</c:v>
                </c:pt>
                <c:pt idx="4">
                  <c:v>51894.09</c:v>
                </c:pt>
                <c:pt idx="5">
                  <c:v>52217.09</c:v>
                </c:pt>
                <c:pt idx="6">
                  <c:v>52676.09</c:v>
                </c:pt>
                <c:pt idx="7">
                  <c:v>53084.09</c:v>
                </c:pt>
                <c:pt idx="8">
                  <c:v>38464.089999999997</c:v>
                </c:pt>
                <c:pt idx="9">
                  <c:v>38464.089999999997</c:v>
                </c:pt>
                <c:pt idx="10">
                  <c:v>38464.089999999997</c:v>
                </c:pt>
                <c:pt idx="11">
                  <c:v>38464.089999999997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77-42C4-95CE-466DA781686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Data'!$A$213:$A$224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Data'!$D$213:$D$224</c:f>
              <c:numCache>
                <c:formatCode>"R"\ #\ ##0.00;[Red]\("R"\ #\ ##0.00\);\-</c:formatCode>
                <c:ptCount val="12"/>
                <c:pt idx="0">
                  <c:v>24020.460000000006</c:v>
                </c:pt>
                <c:pt idx="1">
                  <c:v>51063.41</c:v>
                </c:pt>
                <c:pt idx="2">
                  <c:v>43530.91</c:v>
                </c:pt>
                <c:pt idx="3">
                  <c:v>19337.910000000003</c:v>
                </c:pt>
                <c:pt idx="4">
                  <c:v>12643.910000000003</c:v>
                </c:pt>
                <c:pt idx="5">
                  <c:v>8042.9100000000035</c:v>
                </c:pt>
                <c:pt idx="6">
                  <c:v>23511.410000000003</c:v>
                </c:pt>
                <c:pt idx="7">
                  <c:v>19308.410000000003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77-42C4-95CE-466DA781686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Data'!$A$213:$A$224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Data'!$E$213:$E$224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19503.96</c:v>
                </c:pt>
                <c:pt idx="3">
                  <c:v>857</c:v>
                </c:pt>
                <c:pt idx="4">
                  <c:v>23019.55</c:v>
                </c:pt>
                <c:pt idx="5">
                  <c:v>19078.5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77-42C4-95CE-466DA7816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TATTA 6M3 (TP601)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Data'!$A$228:$A$239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Data'!$B$228:$B$239</c:f>
              <c:numCache>
                <c:formatCode>"R"\ #\ ##0.00;[Red]\("R"\ #\ ##0.00\);\-</c:formatCode>
                <c:ptCount val="12"/>
                <c:pt idx="0">
                  <c:v>13006.499999999998</c:v>
                </c:pt>
                <c:pt idx="1">
                  <c:v>47839.999999999993</c:v>
                </c:pt>
                <c:pt idx="2">
                  <c:v>54866.499999999993</c:v>
                </c:pt>
                <c:pt idx="3">
                  <c:v>44401.5</c:v>
                </c:pt>
                <c:pt idx="4">
                  <c:v>44102.5</c:v>
                </c:pt>
                <c:pt idx="5">
                  <c:v>47840</c:v>
                </c:pt>
                <c:pt idx="6">
                  <c:v>34684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98-47FA-B722-8EE63B1B3BB3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Data'!$A$228:$A$239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Data'!$C$228:$C$239</c:f>
              <c:numCache>
                <c:formatCode>"R"\ #\ ##0.00;[Red]\("R"\ #\ ##0.00\);\-</c:formatCode>
                <c:ptCount val="12"/>
                <c:pt idx="0">
                  <c:v>30475.05</c:v>
                </c:pt>
                <c:pt idx="1">
                  <c:v>37581.050000000003</c:v>
                </c:pt>
                <c:pt idx="2">
                  <c:v>35933.75</c:v>
                </c:pt>
                <c:pt idx="3">
                  <c:v>35901.449999999997</c:v>
                </c:pt>
                <c:pt idx="4">
                  <c:v>35933.75</c:v>
                </c:pt>
                <c:pt idx="5">
                  <c:v>36418.25</c:v>
                </c:pt>
                <c:pt idx="6">
                  <c:v>35190.85</c:v>
                </c:pt>
                <c:pt idx="7">
                  <c:v>36192.149999999994</c:v>
                </c:pt>
                <c:pt idx="8">
                  <c:v>24854.85</c:v>
                </c:pt>
                <c:pt idx="9">
                  <c:v>24854.85</c:v>
                </c:pt>
                <c:pt idx="10">
                  <c:v>24854.85</c:v>
                </c:pt>
                <c:pt idx="11">
                  <c:v>24854.85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98-47FA-B722-8EE63B1B3BB3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Data'!$A$228:$A$239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Data'!$D$228:$D$239</c:f>
              <c:numCache>
                <c:formatCode>"R"\ #\ ##0.00;[Red]\("R"\ #\ ##0.00\);\-</c:formatCode>
                <c:ptCount val="12"/>
                <c:pt idx="0">
                  <c:v>-17468.550000000003</c:v>
                </c:pt>
                <c:pt idx="1">
                  <c:v>10258.94999999999</c:v>
                </c:pt>
                <c:pt idx="2">
                  <c:v>18932.749999999993</c:v>
                </c:pt>
                <c:pt idx="3">
                  <c:v>8500.0500000000029</c:v>
                </c:pt>
                <c:pt idx="4">
                  <c:v>8168.75</c:v>
                </c:pt>
                <c:pt idx="5">
                  <c:v>11421.75</c:v>
                </c:pt>
                <c:pt idx="6">
                  <c:v>-506.84999999999854</c:v>
                </c:pt>
                <c:pt idx="7">
                  <c:v>-36192.149999999994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98-47FA-B722-8EE63B1B3BB3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Data'!$A$228:$A$239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Data'!$E$228:$E$239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2502.1999999999998</c:v>
                </c:pt>
                <c:pt idx="3">
                  <c:v>4300.95</c:v>
                </c:pt>
                <c:pt idx="4">
                  <c:v>349.2</c:v>
                </c:pt>
                <c:pt idx="5">
                  <c:v>0</c:v>
                </c:pt>
                <c:pt idx="6">
                  <c:v>38297.25</c:v>
                </c:pt>
                <c:pt idx="7">
                  <c:v>16000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98-47FA-B722-8EE63B1B3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TATTA 6M3 (TP602)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Data'!$A$243:$A$254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Data'!$B$243:$B$254</c:f>
              <c:numCache>
                <c:formatCode>"R"\ #\ ##0.00;[Red]\("R"\ #\ ##0.00\);\-</c:formatCode>
                <c:ptCount val="12"/>
                <c:pt idx="0">
                  <c:v>39019.5</c:v>
                </c:pt>
                <c:pt idx="1">
                  <c:v>47989.499999999993</c:v>
                </c:pt>
                <c:pt idx="2">
                  <c:v>54716.999999999993</c:v>
                </c:pt>
                <c:pt idx="3">
                  <c:v>42159</c:v>
                </c:pt>
                <c:pt idx="4">
                  <c:v>44401.5</c:v>
                </c:pt>
                <c:pt idx="5">
                  <c:v>55016</c:v>
                </c:pt>
                <c:pt idx="6">
                  <c:v>61594</c:v>
                </c:pt>
                <c:pt idx="7">
                  <c:v>50082.5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E1-4AEC-A1F0-925C3326B716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Data'!$A$243:$A$254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Data'!$C$243:$C$254</c:f>
              <c:numCache>
                <c:formatCode>"R"\ #\ ##0.00;[Red]\("R"\ #\ ##0.00\);\-</c:formatCode>
                <c:ptCount val="12"/>
                <c:pt idx="0">
                  <c:v>53921.919999999998</c:v>
                </c:pt>
                <c:pt idx="1">
                  <c:v>60995.619999999995</c:v>
                </c:pt>
                <c:pt idx="2">
                  <c:v>58702.319999999992</c:v>
                </c:pt>
                <c:pt idx="3">
                  <c:v>58411.619999999995</c:v>
                </c:pt>
                <c:pt idx="4">
                  <c:v>60608.02</c:v>
                </c:pt>
                <c:pt idx="5">
                  <c:v>62626.77</c:v>
                </c:pt>
                <c:pt idx="6">
                  <c:v>59994.319999999992</c:v>
                </c:pt>
                <c:pt idx="7">
                  <c:v>61286.319999999992</c:v>
                </c:pt>
                <c:pt idx="8">
                  <c:v>48334.02</c:v>
                </c:pt>
                <c:pt idx="9">
                  <c:v>48334.02</c:v>
                </c:pt>
                <c:pt idx="10">
                  <c:v>48334.02</c:v>
                </c:pt>
                <c:pt idx="11">
                  <c:v>48334.02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E1-4AEC-A1F0-925C3326B716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Data'!$A$243:$A$254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Data'!$D$243:$D$254</c:f>
              <c:numCache>
                <c:formatCode>"R"\ #\ ##0.00;[Red]\("R"\ #\ ##0.00\);\-</c:formatCode>
                <c:ptCount val="12"/>
                <c:pt idx="0">
                  <c:v>-14902.419999999998</c:v>
                </c:pt>
                <c:pt idx="1">
                  <c:v>-13006.120000000003</c:v>
                </c:pt>
                <c:pt idx="2">
                  <c:v>-3985.3199999999997</c:v>
                </c:pt>
                <c:pt idx="3">
                  <c:v>-16252.619999999995</c:v>
                </c:pt>
                <c:pt idx="4">
                  <c:v>-16206.519999999997</c:v>
                </c:pt>
                <c:pt idx="5">
                  <c:v>-7610.7699999999968</c:v>
                </c:pt>
                <c:pt idx="6">
                  <c:v>1599.6800000000076</c:v>
                </c:pt>
                <c:pt idx="7">
                  <c:v>-11203.819999999992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E1-4AEC-A1F0-925C3326B716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Data'!$A$243:$A$254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Data'!$E$243:$E$254</c:f>
              <c:numCache>
                <c:formatCode>\R\ #\ ##0.00;[Red]\(\R\ #\ ##0.00\);\-</c:formatCode>
                <c:ptCount val="12"/>
                <c:pt idx="0">
                  <c:v>1634.5</c:v>
                </c:pt>
                <c:pt idx="1">
                  <c:v>0</c:v>
                </c:pt>
                <c:pt idx="2">
                  <c:v>2502.1999999999998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2070</c:v>
                </c:pt>
                <c:pt idx="7">
                  <c:v>5108.76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E1-4AEC-A1F0-925C3326B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MERC (WB01)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Data'!$A$258:$A$269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Data'!$B$258:$B$269</c:f>
              <c:numCache>
                <c:formatCode>"R"\ #\ ##0.00;[Red]\("R"\ #\ ##0.00\);\-</c:formatCode>
                <c:ptCount val="12"/>
                <c:pt idx="0">
                  <c:v>27375.749999999996</c:v>
                </c:pt>
                <c:pt idx="1">
                  <c:v>45361.75</c:v>
                </c:pt>
                <c:pt idx="2">
                  <c:v>55280.499999999993</c:v>
                </c:pt>
                <c:pt idx="3">
                  <c:v>43642.5</c:v>
                </c:pt>
                <c:pt idx="4">
                  <c:v>41262</c:v>
                </c:pt>
                <c:pt idx="5">
                  <c:v>40600.75</c:v>
                </c:pt>
                <c:pt idx="6">
                  <c:v>56867.5</c:v>
                </c:pt>
                <c:pt idx="7">
                  <c:v>41791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1-4089-80D6-21A26E591E6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Data'!$A$258:$A$269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Data'!$C$258:$C$269</c:f>
              <c:numCache>
                <c:formatCode>"R"\ #\ ##0.00;[Red]\("R"\ #\ ##0.00\);\-</c:formatCode>
                <c:ptCount val="12"/>
                <c:pt idx="0">
                  <c:v>13466.36</c:v>
                </c:pt>
                <c:pt idx="1">
                  <c:v>20572.36</c:v>
                </c:pt>
                <c:pt idx="2">
                  <c:v>18925.059999999998</c:v>
                </c:pt>
                <c:pt idx="3">
                  <c:v>20863.059999999998</c:v>
                </c:pt>
                <c:pt idx="4">
                  <c:v>19667.96</c:v>
                </c:pt>
                <c:pt idx="5">
                  <c:v>20281.66</c:v>
                </c:pt>
                <c:pt idx="6">
                  <c:v>19506.46</c:v>
                </c:pt>
                <c:pt idx="7">
                  <c:v>20669.260000000002</c:v>
                </c:pt>
                <c:pt idx="8">
                  <c:v>7846.16</c:v>
                </c:pt>
                <c:pt idx="9">
                  <c:v>7846.16</c:v>
                </c:pt>
                <c:pt idx="10">
                  <c:v>7846.16</c:v>
                </c:pt>
                <c:pt idx="11">
                  <c:v>7846.16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51-4089-80D6-21A26E591E6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Data'!$A$258:$A$269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Data'!$D$258:$D$269</c:f>
              <c:numCache>
                <c:formatCode>"R"\ #\ ##0.00;[Red]\("R"\ #\ ##0.00\);\-</c:formatCode>
                <c:ptCount val="12"/>
                <c:pt idx="0">
                  <c:v>13909.389999999996</c:v>
                </c:pt>
                <c:pt idx="1">
                  <c:v>24789.39</c:v>
                </c:pt>
                <c:pt idx="2">
                  <c:v>36355.439999999995</c:v>
                </c:pt>
                <c:pt idx="3">
                  <c:v>22779.440000000002</c:v>
                </c:pt>
                <c:pt idx="4">
                  <c:v>21594.04</c:v>
                </c:pt>
                <c:pt idx="5">
                  <c:v>20319.09</c:v>
                </c:pt>
                <c:pt idx="6">
                  <c:v>37361.040000000001</c:v>
                </c:pt>
                <c:pt idx="7">
                  <c:v>21121.739999999998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51-4089-80D6-21A26E591E6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Data'!$A$258:$A$269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Data'!$E$258:$E$269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2330.3000000000002</c:v>
                </c:pt>
                <c:pt idx="2">
                  <c:v>0</c:v>
                </c:pt>
                <c:pt idx="3">
                  <c:v>1586</c:v>
                </c:pt>
                <c:pt idx="4">
                  <c:v>2392.835</c:v>
                </c:pt>
                <c:pt idx="5">
                  <c:v>429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51-4089-80D6-21A26E591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MERC (WB02)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Data'!$A$273:$A$284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Data'!$B$273:$B$284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15340.999999999998</c:v>
                </c:pt>
                <c:pt idx="2">
                  <c:v>47742.249999999993</c:v>
                </c:pt>
                <c:pt idx="3">
                  <c:v>33723.75</c:v>
                </c:pt>
                <c:pt idx="4">
                  <c:v>47874.5</c:v>
                </c:pt>
                <c:pt idx="5">
                  <c:v>40733</c:v>
                </c:pt>
                <c:pt idx="6">
                  <c:v>60702.75</c:v>
                </c:pt>
                <c:pt idx="7">
                  <c:v>39807.25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2-4080-AC31-AC2D1FE5832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Data'!$A$273:$A$284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Data'!$C$273:$C$284</c:f>
              <c:numCache>
                <c:formatCode>"R"\ #\ ##0.00;[Red]\("R"\ #\ ##0.00\);\-</c:formatCode>
                <c:ptCount val="12"/>
                <c:pt idx="0">
                  <c:v>8938.34</c:v>
                </c:pt>
                <c:pt idx="1">
                  <c:v>16044.34</c:v>
                </c:pt>
                <c:pt idx="2">
                  <c:v>14267.84</c:v>
                </c:pt>
                <c:pt idx="3">
                  <c:v>13686.439999999999</c:v>
                </c:pt>
                <c:pt idx="4">
                  <c:v>17223.29</c:v>
                </c:pt>
                <c:pt idx="5">
                  <c:v>18418.39</c:v>
                </c:pt>
                <c:pt idx="6">
                  <c:v>15850.539999999999</c:v>
                </c:pt>
                <c:pt idx="7">
                  <c:v>16141.24</c:v>
                </c:pt>
                <c:pt idx="8">
                  <c:v>3318.14</c:v>
                </c:pt>
                <c:pt idx="9">
                  <c:v>3318.14</c:v>
                </c:pt>
                <c:pt idx="10">
                  <c:v>3318.14</c:v>
                </c:pt>
                <c:pt idx="11">
                  <c:v>3318.14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2-4080-AC31-AC2D1FE5832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Data'!$A$273:$A$284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Data'!$D$273:$D$284</c:f>
              <c:numCache>
                <c:formatCode>"R"\ #\ ##0.00;[Red]\("R"\ #\ ##0.00\);\-</c:formatCode>
                <c:ptCount val="12"/>
                <c:pt idx="0">
                  <c:v>-8938.34</c:v>
                </c:pt>
                <c:pt idx="1">
                  <c:v>-703.34000000000196</c:v>
                </c:pt>
                <c:pt idx="2">
                  <c:v>33474.409999999989</c:v>
                </c:pt>
                <c:pt idx="3">
                  <c:v>20037.310000000001</c:v>
                </c:pt>
                <c:pt idx="4">
                  <c:v>30651.21</c:v>
                </c:pt>
                <c:pt idx="5">
                  <c:v>22314.61</c:v>
                </c:pt>
                <c:pt idx="6">
                  <c:v>44852.21</c:v>
                </c:pt>
                <c:pt idx="7">
                  <c:v>23666.010000000002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62-4080-AC31-AC2D1FE5832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Data'!$A$273:$A$284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Data'!$E$273:$E$284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88147.86</c:v>
                </c:pt>
                <c:pt idx="2">
                  <c:v>2472.5500000000002</c:v>
                </c:pt>
                <c:pt idx="3">
                  <c:v>6239</c:v>
                </c:pt>
                <c:pt idx="4">
                  <c:v>2868.6349999999998</c:v>
                </c:pt>
                <c:pt idx="5">
                  <c:v>60306.630000000005</c:v>
                </c:pt>
                <c:pt idx="6">
                  <c:v>0</c:v>
                </c:pt>
                <c:pt idx="7">
                  <c:v>4186.58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62-4080-AC31-AC2D1FE58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UD 80 (DT01)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Data'!$A$288:$A$299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Data'!$B$288:$B$299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C7-4E45-B932-32E8FDAD0F65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Data'!$A$288:$A$299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Data'!$C$288:$C$299</c:f>
              <c:numCache>
                <c:formatCode>"R"\ #\ ##0.00;[Red]\("R"\ #\ ##0.00\);\-</c:formatCode>
                <c:ptCount val="12"/>
                <c:pt idx="0">
                  <c:v>9419.17</c:v>
                </c:pt>
                <c:pt idx="1">
                  <c:v>18162.349999999999</c:v>
                </c:pt>
                <c:pt idx="2">
                  <c:v>16339.3</c:v>
                </c:pt>
                <c:pt idx="3">
                  <c:v>16153.28</c:v>
                </c:pt>
                <c:pt idx="4">
                  <c:v>17157.809999999998</c:v>
                </c:pt>
                <c:pt idx="5">
                  <c:v>19204.09</c:v>
                </c:pt>
                <c:pt idx="6">
                  <c:v>17808.900000000001</c:v>
                </c:pt>
                <c:pt idx="7">
                  <c:v>18236.760000000002</c:v>
                </c:pt>
                <c:pt idx="8">
                  <c:v>2871.09</c:v>
                </c:pt>
                <c:pt idx="9">
                  <c:v>2871.09</c:v>
                </c:pt>
                <c:pt idx="10">
                  <c:v>2871.09</c:v>
                </c:pt>
                <c:pt idx="11">
                  <c:v>2871.09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C7-4E45-B932-32E8FDAD0F65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Data'!$A$288:$A$299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Data'!$D$288:$D$299</c:f>
              <c:numCache>
                <c:formatCode>"R"\ #\ ##0.00;[Red]\("R"\ #\ ##0.00\);\-</c:formatCode>
                <c:ptCount val="12"/>
                <c:pt idx="0">
                  <c:v>-9419.17</c:v>
                </c:pt>
                <c:pt idx="1">
                  <c:v>-18162.349999999999</c:v>
                </c:pt>
                <c:pt idx="2">
                  <c:v>-16339.3</c:v>
                </c:pt>
                <c:pt idx="3">
                  <c:v>-16153.28</c:v>
                </c:pt>
                <c:pt idx="4">
                  <c:v>-17157.809999999998</c:v>
                </c:pt>
                <c:pt idx="5">
                  <c:v>-19204.09</c:v>
                </c:pt>
                <c:pt idx="6">
                  <c:v>-17808.900000000001</c:v>
                </c:pt>
                <c:pt idx="7">
                  <c:v>-18236.760000000002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C7-4E45-B932-32E8FDAD0F65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Data'!$A$288:$A$299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Data'!$E$288:$E$299</c:f>
              <c:numCache>
                <c:formatCode>\R\ #\ ##0.00;[Red]\(\R\ #\ ##0.00\);\-</c:formatCode>
                <c:ptCount val="12"/>
                <c:pt idx="0">
                  <c:v>2606.8200000000002</c:v>
                </c:pt>
                <c:pt idx="1">
                  <c:v>0</c:v>
                </c:pt>
                <c:pt idx="2">
                  <c:v>0</c:v>
                </c:pt>
                <c:pt idx="3">
                  <c:v>14399.210000000001</c:v>
                </c:pt>
                <c:pt idx="4">
                  <c:v>6402.19</c:v>
                </c:pt>
                <c:pt idx="5">
                  <c:v>47080.54</c:v>
                </c:pt>
                <c:pt idx="6">
                  <c:v>799.25</c:v>
                </c:pt>
                <c:pt idx="7">
                  <c:v>6402.19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C7-4E45-B932-32E8FDAD0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SANTUI 20TON EXC (EXC01)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Data'!$A$303:$A$314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Data'!$B$303:$B$314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7D-4D18-A886-B2E86DE04A05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Data'!$A$303:$A$314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Data'!$C$303:$C$314</c:f>
              <c:numCache>
                <c:formatCode>"R"\ #\ ##0.00;[Red]\("R"\ #\ ##0.00\);\-</c:formatCode>
                <c:ptCount val="12"/>
                <c:pt idx="0">
                  <c:v>20125</c:v>
                </c:pt>
                <c:pt idx="1">
                  <c:v>20125</c:v>
                </c:pt>
                <c:pt idx="2">
                  <c:v>20125</c:v>
                </c:pt>
                <c:pt idx="3">
                  <c:v>20125</c:v>
                </c:pt>
                <c:pt idx="4">
                  <c:v>20125</c:v>
                </c:pt>
                <c:pt idx="5">
                  <c:v>20125</c:v>
                </c:pt>
                <c:pt idx="6">
                  <c:v>20125</c:v>
                </c:pt>
                <c:pt idx="7">
                  <c:v>20125</c:v>
                </c:pt>
                <c:pt idx="8">
                  <c:v>20125</c:v>
                </c:pt>
                <c:pt idx="9">
                  <c:v>20125</c:v>
                </c:pt>
                <c:pt idx="10">
                  <c:v>20125</c:v>
                </c:pt>
                <c:pt idx="11">
                  <c:v>20125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7D-4D18-A886-B2E86DE04A05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Data'!$A$303:$A$314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Data'!$D$303:$D$314</c:f>
              <c:numCache>
                <c:formatCode>"R"\ #\ ##0.00;[Red]\("R"\ #\ ##0.00\);\-</c:formatCode>
                <c:ptCount val="12"/>
                <c:pt idx="0">
                  <c:v>-20125</c:v>
                </c:pt>
                <c:pt idx="1">
                  <c:v>-20125</c:v>
                </c:pt>
                <c:pt idx="2">
                  <c:v>-20125</c:v>
                </c:pt>
                <c:pt idx="3">
                  <c:v>-20125</c:v>
                </c:pt>
                <c:pt idx="4">
                  <c:v>-20125</c:v>
                </c:pt>
                <c:pt idx="5">
                  <c:v>-20125</c:v>
                </c:pt>
                <c:pt idx="6">
                  <c:v>-20125</c:v>
                </c:pt>
                <c:pt idx="7">
                  <c:v>-20125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7D-4D18-A886-B2E86DE04A05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Data'!$A$303:$A$314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Data'!$E$303:$E$314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7D-4D18-A886-B2E86DE04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ELB 1TON RV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Data'!$A$318:$A$329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Data'!$B$318:$B$329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4-4A70-8581-9A99B62B47D4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Data'!$A$318:$A$329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Data'!$C$318:$C$329</c:f>
              <c:numCache>
                <c:formatCode>"R"\ #\ ##0.00;[Red]\("R"\ #\ ##0.00\);\-</c:formatCode>
                <c:ptCount val="12"/>
                <c:pt idx="0">
                  <c:v>1677.083333333333</c:v>
                </c:pt>
                <c:pt idx="1">
                  <c:v>1677.083333333333</c:v>
                </c:pt>
                <c:pt idx="2">
                  <c:v>1677.083333333333</c:v>
                </c:pt>
                <c:pt idx="3">
                  <c:v>1677.083333333333</c:v>
                </c:pt>
                <c:pt idx="4">
                  <c:v>1677.083333333333</c:v>
                </c:pt>
                <c:pt idx="5">
                  <c:v>1677.083333333333</c:v>
                </c:pt>
                <c:pt idx="6">
                  <c:v>1677.083333333333</c:v>
                </c:pt>
                <c:pt idx="7">
                  <c:v>1677.083333333333</c:v>
                </c:pt>
                <c:pt idx="8">
                  <c:v>1677.083333333333</c:v>
                </c:pt>
                <c:pt idx="9">
                  <c:v>1677.083333333333</c:v>
                </c:pt>
                <c:pt idx="10">
                  <c:v>1677.083333333333</c:v>
                </c:pt>
                <c:pt idx="11">
                  <c:v>1677.083333333333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D4-4A70-8581-9A99B62B47D4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Data'!$A$318:$A$329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Data'!$D$318:$D$329</c:f>
              <c:numCache>
                <c:formatCode>"R"\ #\ ##0.00;[Red]\("R"\ #\ ##0.00\);\-</c:formatCode>
                <c:ptCount val="12"/>
                <c:pt idx="0">
                  <c:v>-1677.083333333333</c:v>
                </c:pt>
                <c:pt idx="1">
                  <c:v>-1677.083333333333</c:v>
                </c:pt>
                <c:pt idx="2">
                  <c:v>-1677.083333333333</c:v>
                </c:pt>
                <c:pt idx="3">
                  <c:v>-1677.083333333333</c:v>
                </c:pt>
                <c:pt idx="4">
                  <c:v>-1677.083333333333</c:v>
                </c:pt>
                <c:pt idx="5">
                  <c:v>-1677.083333333333</c:v>
                </c:pt>
                <c:pt idx="6">
                  <c:v>-1677.083333333333</c:v>
                </c:pt>
                <c:pt idx="7">
                  <c:v>-1677.083333333333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D4-4A70-8581-9A99B62B47D4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Data'!$A$318:$A$329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Data'!$E$318:$E$329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D4-4A70-8581-9A99B62B4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10 KVA GENERATOR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Data'!$A$333:$A$344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Data'!$B$333:$B$344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A5-41AF-8E48-278CC3FDE677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Data'!$A$333:$A$344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Data'!$C$333:$C$344</c:f>
              <c:numCache>
                <c:formatCode>"R"\ #\ ##0.00;[Red]\("R"\ #\ ##0.00\);\-</c:formatCode>
                <c:ptCount val="12"/>
                <c:pt idx="0">
                  <c:v>637.29166666666663</c:v>
                </c:pt>
                <c:pt idx="1">
                  <c:v>637.29166666666663</c:v>
                </c:pt>
                <c:pt idx="2">
                  <c:v>637.29166666666663</c:v>
                </c:pt>
                <c:pt idx="3">
                  <c:v>637.29166666666663</c:v>
                </c:pt>
                <c:pt idx="4">
                  <c:v>637.29166666666663</c:v>
                </c:pt>
                <c:pt idx="5">
                  <c:v>637.29166666666663</c:v>
                </c:pt>
                <c:pt idx="6">
                  <c:v>637.29166666666663</c:v>
                </c:pt>
                <c:pt idx="7">
                  <c:v>637.29166666666663</c:v>
                </c:pt>
                <c:pt idx="8">
                  <c:v>637.29166666666663</c:v>
                </c:pt>
                <c:pt idx="9">
                  <c:v>637.29166666666663</c:v>
                </c:pt>
                <c:pt idx="10">
                  <c:v>637.29166666666663</c:v>
                </c:pt>
                <c:pt idx="11">
                  <c:v>637.29166666666663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A5-41AF-8E48-278CC3FDE677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Data'!$A$333:$A$344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Data'!$D$333:$D$344</c:f>
              <c:numCache>
                <c:formatCode>"R"\ #\ ##0.00;[Red]\("R"\ #\ ##0.00\);\-</c:formatCode>
                <c:ptCount val="12"/>
                <c:pt idx="0">
                  <c:v>-637.29166666666663</c:v>
                </c:pt>
                <c:pt idx="1">
                  <c:v>-637.29166666666663</c:v>
                </c:pt>
                <c:pt idx="2">
                  <c:v>-637.29166666666663</c:v>
                </c:pt>
                <c:pt idx="3">
                  <c:v>-637.29166666666663</c:v>
                </c:pt>
                <c:pt idx="4">
                  <c:v>-637.29166666666663</c:v>
                </c:pt>
                <c:pt idx="5">
                  <c:v>-637.29166666666663</c:v>
                </c:pt>
                <c:pt idx="6">
                  <c:v>-637.29166666666663</c:v>
                </c:pt>
                <c:pt idx="7">
                  <c:v>-637.29166666666663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A5-41AF-8E48-278CC3FDE677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Data'!$A$333:$A$344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Data'!$E$333:$E$344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A5-41AF-8E48-278CC3FDE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ZA" sz="900"/>
              <a:t>7,5 KVA GENERATOR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Data'!$A$348:$A$359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Data'!$B$348:$B$359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3A-4203-9014-B47D10751271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Data'!$A$348:$A$359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Data'!$C$348:$C$359</c:f>
              <c:numCache>
                <c:formatCode>"R"\ #\ ##0.00;[Red]\("R"\ #\ ##0.00\);\-</c:formatCode>
                <c:ptCount val="12"/>
                <c:pt idx="0">
                  <c:v>523.25</c:v>
                </c:pt>
                <c:pt idx="1">
                  <c:v>523.25</c:v>
                </c:pt>
                <c:pt idx="2">
                  <c:v>523.25</c:v>
                </c:pt>
                <c:pt idx="3">
                  <c:v>523.25</c:v>
                </c:pt>
                <c:pt idx="4">
                  <c:v>523.25</c:v>
                </c:pt>
                <c:pt idx="5">
                  <c:v>523.25</c:v>
                </c:pt>
                <c:pt idx="6">
                  <c:v>523.25</c:v>
                </c:pt>
                <c:pt idx="7">
                  <c:v>523.25</c:v>
                </c:pt>
                <c:pt idx="8">
                  <c:v>523.25</c:v>
                </c:pt>
                <c:pt idx="9">
                  <c:v>523.25</c:v>
                </c:pt>
                <c:pt idx="10">
                  <c:v>523.25</c:v>
                </c:pt>
                <c:pt idx="11">
                  <c:v>523.25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3A-4203-9014-B47D10751271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Data'!$A$348:$A$359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Data'!$D$348:$D$359</c:f>
              <c:numCache>
                <c:formatCode>"R"\ #\ ##0.00;[Red]\("R"\ #\ ##0.00\);\-</c:formatCode>
                <c:ptCount val="12"/>
                <c:pt idx="0">
                  <c:v>-523.25</c:v>
                </c:pt>
                <c:pt idx="1">
                  <c:v>-523.25</c:v>
                </c:pt>
                <c:pt idx="2">
                  <c:v>-523.25</c:v>
                </c:pt>
                <c:pt idx="3">
                  <c:v>-523.25</c:v>
                </c:pt>
                <c:pt idx="4">
                  <c:v>-523.25</c:v>
                </c:pt>
                <c:pt idx="5">
                  <c:v>-523.25</c:v>
                </c:pt>
                <c:pt idx="6">
                  <c:v>-523.25</c:v>
                </c:pt>
                <c:pt idx="7">
                  <c:v>-523.25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3A-4203-9014-B47D10751271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Data'!$A$348:$A$359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Data'!$E$348:$E$359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93A-4203-9014-B47D10751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TRAILOR PLANT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Data'!$A$363:$A$374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Data'!$B$363:$B$374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87-4512-8ECB-13174AA747B4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Data'!$A$363:$A$374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Data'!$C$363:$C$374</c:f>
              <c:numCache>
                <c:formatCode>"R"\ #\ ##0.00;[Red]\("R"\ #\ ##0.00\);\-</c:formatCode>
                <c:ptCount val="12"/>
                <c:pt idx="0">
                  <c:v>1677.083333333333</c:v>
                </c:pt>
                <c:pt idx="1">
                  <c:v>1677.083333333333</c:v>
                </c:pt>
                <c:pt idx="2">
                  <c:v>1677.083333333333</c:v>
                </c:pt>
                <c:pt idx="3">
                  <c:v>1677.083333333333</c:v>
                </c:pt>
                <c:pt idx="4">
                  <c:v>1677.083333333333</c:v>
                </c:pt>
                <c:pt idx="5">
                  <c:v>1677.083333333333</c:v>
                </c:pt>
                <c:pt idx="6">
                  <c:v>1677.083333333333</c:v>
                </c:pt>
                <c:pt idx="7">
                  <c:v>1677.083333333333</c:v>
                </c:pt>
                <c:pt idx="8">
                  <c:v>1677.083333333333</c:v>
                </c:pt>
                <c:pt idx="9">
                  <c:v>1677.083333333333</c:v>
                </c:pt>
                <c:pt idx="10">
                  <c:v>1677.083333333333</c:v>
                </c:pt>
                <c:pt idx="11">
                  <c:v>1677.083333333333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87-4512-8ECB-13174AA747B4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Data'!$A$363:$A$374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Data'!$D$363:$D$374</c:f>
              <c:numCache>
                <c:formatCode>"R"\ #\ ##0.00;[Red]\("R"\ #\ ##0.00\);\-</c:formatCode>
                <c:ptCount val="12"/>
                <c:pt idx="0">
                  <c:v>-1677.083333333333</c:v>
                </c:pt>
                <c:pt idx="1">
                  <c:v>-1677.083333333333</c:v>
                </c:pt>
                <c:pt idx="2">
                  <c:v>-1677.083333333333</c:v>
                </c:pt>
                <c:pt idx="3">
                  <c:v>-1677.083333333333</c:v>
                </c:pt>
                <c:pt idx="4">
                  <c:v>-1677.083333333333</c:v>
                </c:pt>
                <c:pt idx="5">
                  <c:v>-1677.083333333333</c:v>
                </c:pt>
                <c:pt idx="6">
                  <c:v>-1677.083333333333</c:v>
                </c:pt>
                <c:pt idx="7">
                  <c:v>-1677.083333333333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87-4512-8ECB-13174AA747B4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Data'!$A$363:$A$374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Data'!$E$363:$E$374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87-4512-8ECB-13174AA74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DIESEL TRAILOR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Data'!$A$378:$A$389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Data'!$B$378:$B$389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FF-445A-9F80-95075A9A470B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Data'!$A$378:$A$389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Data'!$C$378:$C$389</c:f>
              <c:numCache>
                <c:formatCode>"R"\ #\ ##0.00;[Red]\("R"\ #\ ##0.00\);\-</c:formatCode>
                <c:ptCount val="12"/>
                <c:pt idx="0">
                  <c:v>804.99999999999989</c:v>
                </c:pt>
                <c:pt idx="1">
                  <c:v>804.99999999999989</c:v>
                </c:pt>
                <c:pt idx="2">
                  <c:v>804.99999999999989</c:v>
                </c:pt>
                <c:pt idx="3">
                  <c:v>804.99999999999989</c:v>
                </c:pt>
                <c:pt idx="4">
                  <c:v>804.99999999999989</c:v>
                </c:pt>
                <c:pt idx="5">
                  <c:v>804.99999999999989</c:v>
                </c:pt>
                <c:pt idx="6">
                  <c:v>804.99999999999989</c:v>
                </c:pt>
                <c:pt idx="7">
                  <c:v>804.99999999999989</c:v>
                </c:pt>
                <c:pt idx="8">
                  <c:v>804.99999999999989</c:v>
                </c:pt>
                <c:pt idx="9">
                  <c:v>804.99999999999989</c:v>
                </c:pt>
                <c:pt idx="10">
                  <c:v>804.99999999999989</c:v>
                </c:pt>
                <c:pt idx="11">
                  <c:v>804.99999999999989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FF-445A-9F80-95075A9A470B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Data'!$A$378:$A$389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Data'!$D$378:$D$389</c:f>
              <c:numCache>
                <c:formatCode>"R"\ #\ ##0.00;[Red]\("R"\ #\ ##0.00\);\-</c:formatCode>
                <c:ptCount val="12"/>
                <c:pt idx="0">
                  <c:v>-804.99999999999989</c:v>
                </c:pt>
                <c:pt idx="1">
                  <c:v>-804.99999999999989</c:v>
                </c:pt>
                <c:pt idx="2">
                  <c:v>-804.99999999999989</c:v>
                </c:pt>
                <c:pt idx="3">
                  <c:v>-804.99999999999989</c:v>
                </c:pt>
                <c:pt idx="4">
                  <c:v>-804.99999999999989</c:v>
                </c:pt>
                <c:pt idx="5">
                  <c:v>-804.99999999999989</c:v>
                </c:pt>
                <c:pt idx="6">
                  <c:v>-804.99999999999989</c:v>
                </c:pt>
                <c:pt idx="7">
                  <c:v>-804.99999999999989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FF-445A-9F80-95075A9A470B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Data'!$A$378:$A$389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Data'!$E$378:$E$389</c:f>
              <c:numCache>
                <c:formatCode>\R\ #\ ##0.00;[Red]\(\R\ #\ ##0.00\);\-</c:formatCode>
                <c:ptCount val="12"/>
                <c:pt idx="0">
                  <c:v>3113.9</c:v>
                </c:pt>
                <c:pt idx="1">
                  <c:v>0</c:v>
                </c:pt>
                <c:pt idx="2">
                  <c:v>885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7119.62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FF-445A-9F80-95075A9A4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WATER TRAILOR (WT01)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Data'!$A$393:$A$404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Data'!$B$393:$B$404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3162.5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C3-4D08-9E91-4EE751FA9E67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Data'!$A$393:$A$404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Data'!$C$393:$C$404</c:f>
              <c:numCache>
                <c:formatCode>"R"\ #\ ##0.00;[Red]\("R"\ #\ ##0.00\);\-</c:formatCode>
                <c:ptCount val="12"/>
                <c:pt idx="0">
                  <c:v>1006.2499999999999</c:v>
                </c:pt>
                <c:pt idx="1">
                  <c:v>1006.2499999999999</c:v>
                </c:pt>
                <c:pt idx="2">
                  <c:v>1006.2499999999999</c:v>
                </c:pt>
                <c:pt idx="3">
                  <c:v>1006.2499999999999</c:v>
                </c:pt>
                <c:pt idx="4">
                  <c:v>1006.2499999999999</c:v>
                </c:pt>
                <c:pt idx="5">
                  <c:v>1006.2499999999999</c:v>
                </c:pt>
                <c:pt idx="6">
                  <c:v>1006.2499999999999</c:v>
                </c:pt>
                <c:pt idx="7">
                  <c:v>1006.2499999999999</c:v>
                </c:pt>
                <c:pt idx="8">
                  <c:v>1006.2499999999999</c:v>
                </c:pt>
                <c:pt idx="9">
                  <c:v>1006.2499999999999</c:v>
                </c:pt>
                <c:pt idx="10">
                  <c:v>1006.2499999999999</c:v>
                </c:pt>
                <c:pt idx="11">
                  <c:v>1006.2499999999999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C3-4D08-9E91-4EE751FA9E67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Data'!$A$393:$A$404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Data'!$D$393:$D$404</c:f>
              <c:numCache>
                <c:formatCode>"R"\ #\ ##0.00;[Red]\("R"\ #\ ##0.00\);\-</c:formatCode>
                <c:ptCount val="12"/>
                <c:pt idx="0">
                  <c:v>-1006.2499999999999</c:v>
                </c:pt>
                <c:pt idx="1">
                  <c:v>-1006.2499999999999</c:v>
                </c:pt>
                <c:pt idx="2">
                  <c:v>-1006.2499999999999</c:v>
                </c:pt>
                <c:pt idx="3">
                  <c:v>-1006.2499999999999</c:v>
                </c:pt>
                <c:pt idx="4">
                  <c:v>-1006.2499999999999</c:v>
                </c:pt>
                <c:pt idx="5">
                  <c:v>-1006.2499999999999</c:v>
                </c:pt>
                <c:pt idx="6">
                  <c:v>-1006.2499999999999</c:v>
                </c:pt>
                <c:pt idx="7">
                  <c:v>2156.25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C3-4D08-9E91-4EE751FA9E67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Data'!$A$393:$A$404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Data'!$E$393:$E$404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C3-4D08-9E91-4EE751FA9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OFFICE CONTAINER #1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Data'!$A$408:$A$419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Data'!$B$408:$B$419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1724.9999999999998</c:v>
                </c:pt>
                <c:pt idx="2">
                  <c:v>1725</c:v>
                </c:pt>
                <c:pt idx="3">
                  <c:v>1725</c:v>
                </c:pt>
                <c:pt idx="4">
                  <c:v>1725</c:v>
                </c:pt>
                <c:pt idx="5">
                  <c:v>1725</c:v>
                </c:pt>
                <c:pt idx="6">
                  <c:v>1725</c:v>
                </c:pt>
                <c:pt idx="7">
                  <c:v>1725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41-422D-B409-8CBE35A29405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Data'!$A$408:$A$419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Data'!$C$408:$C$419</c:f>
              <c:numCache>
                <c:formatCode>"R"\ #\ ##0.00;[Red]\("R"\ #\ ##0.00\);\-</c:formatCode>
                <c:ptCount val="12"/>
                <c:pt idx="0">
                  <c:v>4360.4166666666661</c:v>
                </c:pt>
                <c:pt idx="1">
                  <c:v>4360.4166666666661</c:v>
                </c:pt>
                <c:pt idx="2">
                  <c:v>4360.4166666666661</c:v>
                </c:pt>
                <c:pt idx="3">
                  <c:v>4360.4166666666661</c:v>
                </c:pt>
                <c:pt idx="4">
                  <c:v>4360.4166666666661</c:v>
                </c:pt>
                <c:pt idx="5">
                  <c:v>4360.4166666666661</c:v>
                </c:pt>
                <c:pt idx="6">
                  <c:v>4360.4166666666661</c:v>
                </c:pt>
                <c:pt idx="7">
                  <c:v>4360.4166666666661</c:v>
                </c:pt>
                <c:pt idx="8">
                  <c:v>4360.4166666666661</c:v>
                </c:pt>
                <c:pt idx="9">
                  <c:v>4360.4166666666661</c:v>
                </c:pt>
                <c:pt idx="10">
                  <c:v>4360.4166666666661</c:v>
                </c:pt>
                <c:pt idx="11">
                  <c:v>4360.4166666666661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41-422D-B409-8CBE35A29405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Data'!$A$408:$A$419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Data'!$D$408:$D$419</c:f>
              <c:numCache>
                <c:formatCode>"R"\ #\ ##0.00;[Red]\("R"\ #\ ##0.00\);\-</c:formatCode>
                <c:ptCount val="12"/>
                <c:pt idx="0">
                  <c:v>-4360.4166666666661</c:v>
                </c:pt>
                <c:pt idx="1">
                  <c:v>-2635.4166666666661</c:v>
                </c:pt>
                <c:pt idx="2">
                  <c:v>-2635.4166666666661</c:v>
                </c:pt>
                <c:pt idx="3">
                  <c:v>-2635.4166666666661</c:v>
                </c:pt>
                <c:pt idx="4">
                  <c:v>-2635.4166666666661</c:v>
                </c:pt>
                <c:pt idx="5">
                  <c:v>-2635.4166666666661</c:v>
                </c:pt>
                <c:pt idx="6">
                  <c:v>-2635.4166666666661</c:v>
                </c:pt>
                <c:pt idx="7">
                  <c:v>-2635.4166666666661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41-422D-B409-8CBE35A29405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Data'!$A$408:$A$419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Data'!$E$408:$E$419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41-422D-B409-8CBE35A29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OFFICE CONTAINER #2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Data'!$A$423:$A$434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Data'!$B$423:$B$434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1724.9999999999998</c:v>
                </c:pt>
                <c:pt idx="2">
                  <c:v>1725</c:v>
                </c:pt>
                <c:pt idx="3">
                  <c:v>1725</c:v>
                </c:pt>
                <c:pt idx="4">
                  <c:v>1725</c:v>
                </c:pt>
                <c:pt idx="5">
                  <c:v>1725</c:v>
                </c:pt>
                <c:pt idx="6">
                  <c:v>1725</c:v>
                </c:pt>
                <c:pt idx="7">
                  <c:v>1725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C2-4FB6-B896-FA61862D64F5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Data'!$A$423:$A$434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Data'!$C$423:$C$434</c:f>
              <c:numCache>
                <c:formatCode>"R"\ #\ ##0.00;[Red]\("R"\ #\ ##0.00\);\-</c:formatCode>
                <c:ptCount val="12"/>
                <c:pt idx="0">
                  <c:v>3018.7499999999991</c:v>
                </c:pt>
                <c:pt idx="1">
                  <c:v>3018.7499999999991</c:v>
                </c:pt>
                <c:pt idx="2">
                  <c:v>3018.7499999999991</c:v>
                </c:pt>
                <c:pt idx="3">
                  <c:v>3018.7499999999991</c:v>
                </c:pt>
                <c:pt idx="4">
                  <c:v>3018.7499999999991</c:v>
                </c:pt>
                <c:pt idx="5">
                  <c:v>3018.7499999999991</c:v>
                </c:pt>
                <c:pt idx="6">
                  <c:v>3018.7499999999991</c:v>
                </c:pt>
                <c:pt idx="7">
                  <c:v>3018.7499999999991</c:v>
                </c:pt>
                <c:pt idx="8">
                  <c:v>3018.7499999999991</c:v>
                </c:pt>
                <c:pt idx="9">
                  <c:v>3018.7499999999991</c:v>
                </c:pt>
                <c:pt idx="10">
                  <c:v>3018.7499999999991</c:v>
                </c:pt>
                <c:pt idx="11">
                  <c:v>3018.7499999999991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C2-4FB6-B896-FA61862D64F5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Data'!$A$423:$A$434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Data'!$D$423:$D$434</c:f>
              <c:numCache>
                <c:formatCode>"R"\ #\ ##0.00;[Red]\("R"\ #\ ##0.00\);\-</c:formatCode>
                <c:ptCount val="12"/>
                <c:pt idx="0">
                  <c:v>-3018.7499999999991</c:v>
                </c:pt>
                <c:pt idx="1">
                  <c:v>-1293.7499999999993</c:v>
                </c:pt>
                <c:pt idx="2">
                  <c:v>-1293.7499999999991</c:v>
                </c:pt>
                <c:pt idx="3">
                  <c:v>-1293.7499999999991</c:v>
                </c:pt>
                <c:pt idx="4">
                  <c:v>-1293.7499999999991</c:v>
                </c:pt>
                <c:pt idx="5">
                  <c:v>-1293.7499999999991</c:v>
                </c:pt>
                <c:pt idx="6">
                  <c:v>-1293.7499999999991</c:v>
                </c:pt>
                <c:pt idx="7">
                  <c:v>-1293.7499999999991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C2-4FB6-B896-FA61862D64F5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Data'!$A$423:$A$434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Data'!$E$423:$E$434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C2-4FB6-B896-FA61862D6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Data'!$A$438:$A$449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Data'!$B$438:$B$449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CD-4C19-B7D0-3C98C72D2848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Data'!$A$438:$A$449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Data'!$C$438:$C$449</c:f>
              <c:numCache>
                <c:formatCode>"R"\ #\ ##0.00;[Red]\("R"\ #\ ##0.00\);\-</c:formatCode>
                <c:ptCount val="12"/>
                <c:pt idx="0">
                  <c:v>1878.333333333333</c:v>
                </c:pt>
                <c:pt idx="1">
                  <c:v>1878.333333333333</c:v>
                </c:pt>
                <c:pt idx="2">
                  <c:v>1878.333333333333</c:v>
                </c:pt>
                <c:pt idx="3">
                  <c:v>1878.333333333333</c:v>
                </c:pt>
                <c:pt idx="4">
                  <c:v>1878.333333333333</c:v>
                </c:pt>
                <c:pt idx="5">
                  <c:v>1878.333333333333</c:v>
                </c:pt>
                <c:pt idx="6">
                  <c:v>1878.333333333333</c:v>
                </c:pt>
                <c:pt idx="7">
                  <c:v>1878.333333333333</c:v>
                </c:pt>
                <c:pt idx="8">
                  <c:v>1878.333333333333</c:v>
                </c:pt>
                <c:pt idx="9">
                  <c:v>1878.333333333333</c:v>
                </c:pt>
                <c:pt idx="10">
                  <c:v>1878.333333333333</c:v>
                </c:pt>
                <c:pt idx="11">
                  <c:v>1878.333333333333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CD-4C19-B7D0-3C98C72D2848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Data'!$A$438:$A$449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Data'!$D$438:$D$449</c:f>
              <c:numCache>
                <c:formatCode>"R"\ #\ ##0.00;[Red]\("R"\ #\ ##0.00\);\-</c:formatCode>
                <c:ptCount val="12"/>
                <c:pt idx="0">
                  <c:v>-1878.333333333333</c:v>
                </c:pt>
                <c:pt idx="1">
                  <c:v>-498.33333333333303</c:v>
                </c:pt>
                <c:pt idx="2">
                  <c:v>-498.33333333333303</c:v>
                </c:pt>
                <c:pt idx="3">
                  <c:v>-498.33333333333303</c:v>
                </c:pt>
                <c:pt idx="4">
                  <c:v>-498.33333333333303</c:v>
                </c:pt>
                <c:pt idx="5">
                  <c:v>-498.33333333333303</c:v>
                </c:pt>
                <c:pt idx="6">
                  <c:v>-498.33333333333303</c:v>
                </c:pt>
                <c:pt idx="7">
                  <c:v>-498.33333333333303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CD-4C19-B7D0-3C98C72D2848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Data'!$A$438:$A$449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Data'!$E$438:$E$449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CD-4C19-B7D0-3C98C72D2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#2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Data'!$A$453:$A$464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Data'!$B$453:$B$464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44-4C69-AB98-F076F6086BEA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Data'!$A$453:$A$464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Data'!$C$453:$C$464</c:f>
              <c:numCache>
                <c:formatCode>"R"\ #\ ##0.00;[Red]\("R"\ #\ ##0.00\);\-</c:formatCode>
                <c:ptCount val="12"/>
                <c:pt idx="0">
                  <c:v>2347.9166666666665</c:v>
                </c:pt>
                <c:pt idx="1">
                  <c:v>2347.9166666666665</c:v>
                </c:pt>
                <c:pt idx="2">
                  <c:v>2347.9166666666665</c:v>
                </c:pt>
                <c:pt idx="3">
                  <c:v>2347.9166666666665</c:v>
                </c:pt>
                <c:pt idx="4">
                  <c:v>2347.9166666666665</c:v>
                </c:pt>
                <c:pt idx="5">
                  <c:v>2347.9166666666665</c:v>
                </c:pt>
                <c:pt idx="6">
                  <c:v>2347.9166666666665</c:v>
                </c:pt>
                <c:pt idx="7">
                  <c:v>2347.9166666666665</c:v>
                </c:pt>
                <c:pt idx="8">
                  <c:v>2347.9166666666665</c:v>
                </c:pt>
                <c:pt idx="9">
                  <c:v>2347.9166666666665</c:v>
                </c:pt>
                <c:pt idx="10">
                  <c:v>2347.9166666666665</c:v>
                </c:pt>
                <c:pt idx="11">
                  <c:v>2347.9166666666665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44-4C69-AB98-F076F6086BEA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Data'!$A$453:$A$464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Data'!$D$453:$D$464</c:f>
              <c:numCache>
                <c:formatCode>"R"\ #\ ##0.00;[Red]\("R"\ #\ ##0.00\);\-</c:formatCode>
                <c:ptCount val="12"/>
                <c:pt idx="0">
                  <c:v>-2347.9166666666665</c:v>
                </c:pt>
                <c:pt idx="1">
                  <c:v>-967.91666666666652</c:v>
                </c:pt>
                <c:pt idx="2">
                  <c:v>-967.91666666666652</c:v>
                </c:pt>
                <c:pt idx="3">
                  <c:v>-967.91666666666652</c:v>
                </c:pt>
                <c:pt idx="4">
                  <c:v>-967.91666666666652</c:v>
                </c:pt>
                <c:pt idx="5">
                  <c:v>-967.91666666666652</c:v>
                </c:pt>
                <c:pt idx="6">
                  <c:v>-967.91666666666652</c:v>
                </c:pt>
                <c:pt idx="7">
                  <c:v>-967.91666666666652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44-4C69-AB98-F076F6086BEA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Data'!$A$453:$A$464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Data'!$E$453:$E$464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44-4C69-AB98-F076F6086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#3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Data'!$A$468:$A$479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Data'!$B$468:$B$479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A0-4E3A-BDEF-43FA804191C6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Data'!$A$468:$A$479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Data'!$C$468:$C$479</c:f>
              <c:numCache>
                <c:formatCode>"R"\ #\ ##0.00;[Red]\("R"\ #\ ##0.00\);\-</c:formatCode>
                <c:ptCount val="12"/>
                <c:pt idx="0">
                  <c:v>2347.9166666666665</c:v>
                </c:pt>
                <c:pt idx="1">
                  <c:v>2347.9166666666665</c:v>
                </c:pt>
                <c:pt idx="2">
                  <c:v>2347.9166666666665</c:v>
                </c:pt>
                <c:pt idx="3">
                  <c:v>2347.9166666666665</c:v>
                </c:pt>
                <c:pt idx="4">
                  <c:v>2347.9166666666665</c:v>
                </c:pt>
                <c:pt idx="5">
                  <c:v>2347.9166666666665</c:v>
                </c:pt>
                <c:pt idx="6">
                  <c:v>2347.9166666666665</c:v>
                </c:pt>
                <c:pt idx="7">
                  <c:v>2347.9166666666665</c:v>
                </c:pt>
                <c:pt idx="8">
                  <c:v>2347.9166666666665</c:v>
                </c:pt>
                <c:pt idx="9">
                  <c:v>2347.9166666666665</c:v>
                </c:pt>
                <c:pt idx="10">
                  <c:v>2347.9166666666665</c:v>
                </c:pt>
                <c:pt idx="11">
                  <c:v>2347.9166666666665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A0-4E3A-BDEF-43FA804191C6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Data'!$A$468:$A$479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Data'!$D$468:$D$479</c:f>
              <c:numCache>
                <c:formatCode>"R"\ #\ ##0.00;[Red]\("R"\ #\ ##0.00\);\-</c:formatCode>
                <c:ptCount val="12"/>
                <c:pt idx="0">
                  <c:v>-2347.9166666666665</c:v>
                </c:pt>
                <c:pt idx="1">
                  <c:v>-967.91666666666652</c:v>
                </c:pt>
                <c:pt idx="2">
                  <c:v>-967.91666666666652</c:v>
                </c:pt>
                <c:pt idx="3">
                  <c:v>-967.91666666666652</c:v>
                </c:pt>
                <c:pt idx="4">
                  <c:v>-967.91666666666652</c:v>
                </c:pt>
                <c:pt idx="5">
                  <c:v>-967.91666666666652</c:v>
                </c:pt>
                <c:pt idx="6">
                  <c:v>-967.91666666666652</c:v>
                </c:pt>
                <c:pt idx="7">
                  <c:v>-967.91666666666652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A0-4E3A-BDEF-43FA804191C6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Data'!$A$468:$A$479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Data'!$E$468:$E$479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A0-4E3A-BDEF-43FA80419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#4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Data'!$A$483:$A$494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Data'!$B$483:$B$494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7A-478A-951F-4E015A215294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Data'!$A$483:$A$494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Data'!$C$483:$C$494</c:f>
              <c:numCache>
                <c:formatCode>"R"\ #\ ##0.00;[Red]\("R"\ #\ ##0.00\);\-</c:formatCode>
                <c:ptCount val="12"/>
                <c:pt idx="0">
                  <c:v>3018.7499999999991</c:v>
                </c:pt>
                <c:pt idx="1">
                  <c:v>3018.7499999999991</c:v>
                </c:pt>
                <c:pt idx="2">
                  <c:v>3018.7499999999991</c:v>
                </c:pt>
                <c:pt idx="3">
                  <c:v>3018.7499999999991</c:v>
                </c:pt>
                <c:pt idx="4">
                  <c:v>3018.7499999999991</c:v>
                </c:pt>
                <c:pt idx="5">
                  <c:v>3018.7499999999991</c:v>
                </c:pt>
                <c:pt idx="6">
                  <c:v>3018.7499999999991</c:v>
                </c:pt>
                <c:pt idx="7">
                  <c:v>3018.7499999999991</c:v>
                </c:pt>
                <c:pt idx="8">
                  <c:v>3018.7499999999991</c:v>
                </c:pt>
                <c:pt idx="9">
                  <c:v>3018.7499999999991</c:v>
                </c:pt>
                <c:pt idx="10">
                  <c:v>3018.7499999999991</c:v>
                </c:pt>
                <c:pt idx="11">
                  <c:v>3018.7499999999991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7A-478A-951F-4E015A215294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Data'!$A$483:$A$494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Data'!$D$483:$D$494</c:f>
              <c:numCache>
                <c:formatCode>"R"\ #\ ##0.00;[Red]\("R"\ #\ ##0.00\);\-</c:formatCode>
                <c:ptCount val="12"/>
                <c:pt idx="0">
                  <c:v>-3018.7499999999991</c:v>
                </c:pt>
                <c:pt idx="1">
                  <c:v>-1638.7499999999991</c:v>
                </c:pt>
                <c:pt idx="2">
                  <c:v>-1638.7499999999991</c:v>
                </c:pt>
                <c:pt idx="3">
                  <c:v>-1638.7499999999991</c:v>
                </c:pt>
                <c:pt idx="4">
                  <c:v>-1638.7499999999991</c:v>
                </c:pt>
                <c:pt idx="5">
                  <c:v>-1638.7499999999991</c:v>
                </c:pt>
                <c:pt idx="6">
                  <c:v>-1638.7499999999991</c:v>
                </c:pt>
                <c:pt idx="7">
                  <c:v>-1638.7499999999991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7A-478A-951F-4E015A215294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Data'!$A$483:$A$494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Data'!$E$483:$E$494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7A-478A-951F-4E015A215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#5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Data'!$A$498:$A$509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Data'!$B$498:$B$509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DB-42E5-B5AD-7BBD5A43BFAF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Data'!$A$498:$A$509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Data'!$C$498:$C$509</c:f>
              <c:numCache>
                <c:formatCode>"R"\ #\ ##0.00;[Red]\("R"\ #\ ##0.00\);\-</c:formatCode>
                <c:ptCount val="12"/>
                <c:pt idx="0">
                  <c:v>2347.9166666666665</c:v>
                </c:pt>
                <c:pt idx="1">
                  <c:v>2347.9166666666665</c:v>
                </c:pt>
                <c:pt idx="2">
                  <c:v>2347.9166666666665</c:v>
                </c:pt>
                <c:pt idx="3">
                  <c:v>2347.9166666666665</c:v>
                </c:pt>
                <c:pt idx="4">
                  <c:v>2347.9166666666665</c:v>
                </c:pt>
                <c:pt idx="5">
                  <c:v>2347.9166666666665</c:v>
                </c:pt>
                <c:pt idx="6">
                  <c:v>2347.9166666666665</c:v>
                </c:pt>
                <c:pt idx="7">
                  <c:v>2347.9166666666665</c:v>
                </c:pt>
                <c:pt idx="8">
                  <c:v>2347.9166666666665</c:v>
                </c:pt>
                <c:pt idx="9">
                  <c:v>2347.9166666666665</c:v>
                </c:pt>
                <c:pt idx="10">
                  <c:v>2347.9166666666665</c:v>
                </c:pt>
                <c:pt idx="11">
                  <c:v>2347.9166666666665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DB-42E5-B5AD-7BBD5A43BFAF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Data'!$A$498:$A$509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Data'!$D$498:$D$509</c:f>
              <c:numCache>
                <c:formatCode>"R"\ #\ ##0.00;[Red]\("R"\ #\ ##0.00\);\-</c:formatCode>
                <c:ptCount val="12"/>
                <c:pt idx="0">
                  <c:v>-2347.9166666666665</c:v>
                </c:pt>
                <c:pt idx="1">
                  <c:v>-967.91666666666652</c:v>
                </c:pt>
                <c:pt idx="2">
                  <c:v>-967.91666666666652</c:v>
                </c:pt>
                <c:pt idx="3">
                  <c:v>-967.91666666666652</c:v>
                </c:pt>
                <c:pt idx="4">
                  <c:v>-967.91666666666652</c:v>
                </c:pt>
                <c:pt idx="5">
                  <c:v>-967.91666666666652</c:v>
                </c:pt>
                <c:pt idx="6">
                  <c:v>-967.91666666666652</c:v>
                </c:pt>
                <c:pt idx="7">
                  <c:v>-967.91666666666652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DB-42E5-B5AD-7BBD5A43BFAF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Data'!$A$498:$A$509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Data'!$E$498:$E$509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DB-42E5-B5AD-7BBD5A43B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#6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Data'!$A$513:$A$524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Data'!$B$513:$B$524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F1-4755-84EF-2731E00D10A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Data'!$A$513:$A$524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Data'!$C$513:$C$524</c:f>
              <c:numCache>
                <c:formatCode>"R"\ #\ ##0.00;[Red]\("R"\ #\ ##0.00\);\-</c:formatCode>
                <c:ptCount val="12"/>
                <c:pt idx="0">
                  <c:v>2347.9166666666665</c:v>
                </c:pt>
                <c:pt idx="1">
                  <c:v>2347.9166666666665</c:v>
                </c:pt>
                <c:pt idx="2">
                  <c:v>2347.9166666666665</c:v>
                </c:pt>
                <c:pt idx="3">
                  <c:v>2347.9166666666665</c:v>
                </c:pt>
                <c:pt idx="4">
                  <c:v>2347.9166666666665</c:v>
                </c:pt>
                <c:pt idx="5">
                  <c:v>2347.9166666666665</c:v>
                </c:pt>
                <c:pt idx="6">
                  <c:v>2347.9166666666665</c:v>
                </c:pt>
                <c:pt idx="7">
                  <c:v>2347.9166666666665</c:v>
                </c:pt>
                <c:pt idx="8">
                  <c:v>2347.9166666666665</c:v>
                </c:pt>
                <c:pt idx="9">
                  <c:v>2347.9166666666665</c:v>
                </c:pt>
                <c:pt idx="10">
                  <c:v>2347.9166666666665</c:v>
                </c:pt>
                <c:pt idx="11">
                  <c:v>2347.9166666666665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F1-4755-84EF-2731E00D10A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Data'!$A$513:$A$524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Data'!$D$513:$D$524</c:f>
              <c:numCache>
                <c:formatCode>"R"\ #\ ##0.00;[Red]\("R"\ #\ ##0.00\);\-</c:formatCode>
                <c:ptCount val="12"/>
                <c:pt idx="0">
                  <c:v>-2347.9166666666665</c:v>
                </c:pt>
                <c:pt idx="1">
                  <c:v>-967.91666666666652</c:v>
                </c:pt>
                <c:pt idx="2">
                  <c:v>-967.91666666666652</c:v>
                </c:pt>
                <c:pt idx="3">
                  <c:v>-967.91666666666652</c:v>
                </c:pt>
                <c:pt idx="4">
                  <c:v>-967.91666666666652</c:v>
                </c:pt>
                <c:pt idx="5">
                  <c:v>-967.91666666666652</c:v>
                </c:pt>
                <c:pt idx="6">
                  <c:v>-967.91666666666652</c:v>
                </c:pt>
                <c:pt idx="7">
                  <c:v>-967.91666666666652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F1-4755-84EF-2731E00D10A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Data'!$A$513:$A$524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Data'!$E$513:$E$524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F1-4755-84EF-2731E00D1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SITE CONTANER #7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Data'!$A$528:$A$539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Data'!$B$528:$B$539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1380</c:v>
                </c:pt>
                <c:pt idx="2">
                  <c:v>1380</c:v>
                </c:pt>
                <c:pt idx="3">
                  <c:v>1380</c:v>
                </c:pt>
                <c:pt idx="4">
                  <c:v>1380</c:v>
                </c:pt>
                <c:pt idx="5">
                  <c:v>1380</c:v>
                </c:pt>
                <c:pt idx="6">
                  <c:v>1380</c:v>
                </c:pt>
                <c:pt idx="7">
                  <c:v>1380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8-44BB-8999-48B19D9AB3DC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Data'!$A$528:$A$539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Data'!$C$528:$C$539</c:f>
              <c:numCache>
                <c:formatCode>"R"\ #\ ##0.00;[Red]\("R"\ #\ ##0.00\);\-</c:formatCode>
                <c:ptCount val="12"/>
                <c:pt idx="0">
                  <c:v>3018.7499999999991</c:v>
                </c:pt>
                <c:pt idx="1">
                  <c:v>3018.7499999999991</c:v>
                </c:pt>
                <c:pt idx="2">
                  <c:v>3018.7499999999991</c:v>
                </c:pt>
                <c:pt idx="3">
                  <c:v>3018.7499999999991</c:v>
                </c:pt>
                <c:pt idx="4">
                  <c:v>3018.7499999999991</c:v>
                </c:pt>
                <c:pt idx="5">
                  <c:v>3018.7499999999991</c:v>
                </c:pt>
                <c:pt idx="6">
                  <c:v>3018.7499999999991</c:v>
                </c:pt>
                <c:pt idx="7">
                  <c:v>3018.7499999999991</c:v>
                </c:pt>
                <c:pt idx="8">
                  <c:v>3018.7499999999991</c:v>
                </c:pt>
                <c:pt idx="9">
                  <c:v>3018.7499999999991</c:v>
                </c:pt>
                <c:pt idx="10">
                  <c:v>3018.7499999999991</c:v>
                </c:pt>
                <c:pt idx="11">
                  <c:v>3018.7499999999991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8-44BB-8999-48B19D9AB3DC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Data'!$A$528:$A$539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Data'!$D$528:$D$539</c:f>
              <c:numCache>
                <c:formatCode>"R"\ #\ ##0.00;[Red]\("R"\ #\ ##0.00\);\-</c:formatCode>
                <c:ptCount val="12"/>
                <c:pt idx="0">
                  <c:v>-3018.7499999999991</c:v>
                </c:pt>
                <c:pt idx="1">
                  <c:v>-1638.7499999999991</c:v>
                </c:pt>
                <c:pt idx="2">
                  <c:v>-1638.7499999999991</c:v>
                </c:pt>
                <c:pt idx="3">
                  <c:v>-1638.7499999999991</c:v>
                </c:pt>
                <c:pt idx="4">
                  <c:v>-1638.7499999999991</c:v>
                </c:pt>
                <c:pt idx="5">
                  <c:v>-1638.7499999999991</c:v>
                </c:pt>
                <c:pt idx="6">
                  <c:v>-1638.7499999999991</c:v>
                </c:pt>
                <c:pt idx="7">
                  <c:v>-1638.7499999999991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8-44BB-8999-48B19D9AB3DC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Data'!$A$528:$A$539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Data'!$E$528:$E$539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98-44BB-8999-48B19D9AB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Porta camp #1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Data'!$A$543:$A$554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Data'!$B$543:$B$554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27-4FD7-B9C0-D99124B1A346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Data'!$A$543:$A$554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Data'!$C$543:$C$554</c:f>
              <c:numCache>
                <c:formatCode>"R"\ #\ ##0.00;[Red]\("R"\ #\ ##0.00\);\-</c:formatCode>
                <c:ptCount val="12"/>
                <c:pt idx="0">
                  <c:v>2012.4999999999998</c:v>
                </c:pt>
                <c:pt idx="1">
                  <c:v>2012.4999999999998</c:v>
                </c:pt>
                <c:pt idx="2">
                  <c:v>2012.4999999999998</c:v>
                </c:pt>
                <c:pt idx="3">
                  <c:v>2012.4999999999998</c:v>
                </c:pt>
                <c:pt idx="4">
                  <c:v>2012.4999999999998</c:v>
                </c:pt>
                <c:pt idx="5">
                  <c:v>2012.4999999999998</c:v>
                </c:pt>
                <c:pt idx="6">
                  <c:v>2012.4999999999998</c:v>
                </c:pt>
                <c:pt idx="7">
                  <c:v>2012.4999999999998</c:v>
                </c:pt>
                <c:pt idx="8">
                  <c:v>2012.4999999999998</c:v>
                </c:pt>
                <c:pt idx="9">
                  <c:v>2012.4999999999998</c:v>
                </c:pt>
                <c:pt idx="10">
                  <c:v>2012.4999999999998</c:v>
                </c:pt>
                <c:pt idx="11">
                  <c:v>2012.4999999999998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27-4FD7-B9C0-D99124B1A346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Data'!$A$543:$A$554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Data'!$D$543:$D$554</c:f>
              <c:numCache>
                <c:formatCode>"R"\ #\ ##0.00;[Red]\("R"\ #\ ##0.00\);\-</c:formatCode>
                <c:ptCount val="12"/>
                <c:pt idx="0">
                  <c:v>-2012.4999999999998</c:v>
                </c:pt>
                <c:pt idx="1">
                  <c:v>-2012.4999999999998</c:v>
                </c:pt>
                <c:pt idx="2">
                  <c:v>-2012.4999999999998</c:v>
                </c:pt>
                <c:pt idx="3">
                  <c:v>-2012.4999999999998</c:v>
                </c:pt>
                <c:pt idx="4">
                  <c:v>-2012.4999999999998</c:v>
                </c:pt>
                <c:pt idx="5">
                  <c:v>-2012.4999999999998</c:v>
                </c:pt>
                <c:pt idx="6">
                  <c:v>-2012.4999999999998</c:v>
                </c:pt>
                <c:pt idx="7">
                  <c:v>-2012.4999999999998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27-4FD7-B9C0-D99124B1A346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Data'!$A$543:$A$554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Data'!$E$543:$E$554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27-4FD7-B9C0-D99124B1A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Porta camp #2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Data'!$A$558:$A$569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Data'!$B$558:$B$569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AE-429B-B1AE-B7A02DECF691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Data'!$A$558:$A$569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Data'!$C$558:$C$569</c:f>
              <c:numCache>
                <c:formatCode>"R"\ #\ ##0.00;[Red]\("R"\ #\ ##0.00\);\-</c:formatCode>
                <c:ptCount val="12"/>
                <c:pt idx="0">
                  <c:v>2012.4999999999998</c:v>
                </c:pt>
                <c:pt idx="1">
                  <c:v>2012.4999999999998</c:v>
                </c:pt>
                <c:pt idx="2">
                  <c:v>2012.4999999999998</c:v>
                </c:pt>
                <c:pt idx="3">
                  <c:v>2012.4999999999998</c:v>
                </c:pt>
                <c:pt idx="4">
                  <c:v>2012.4999999999998</c:v>
                </c:pt>
                <c:pt idx="5">
                  <c:v>2012.4999999999998</c:v>
                </c:pt>
                <c:pt idx="6">
                  <c:v>2012.4999999999998</c:v>
                </c:pt>
                <c:pt idx="7">
                  <c:v>2012.4999999999998</c:v>
                </c:pt>
                <c:pt idx="8">
                  <c:v>2012.4999999999998</c:v>
                </c:pt>
                <c:pt idx="9">
                  <c:v>2012.4999999999998</c:v>
                </c:pt>
                <c:pt idx="10">
                  <c:v>2012.4999999999998</c:v>
                </c:pt>
                <c:pt idx="11">
                  <c:v>2012.4999999999998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AE-429B-B1AE-B7A02DECF691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Data'!$A$558:$A$569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Data'!$D$558:$D$569</c:f>
              <c:numCache>
                <c:formatCode>"R"\ #\ ##0.00;[Red]\("R"\ #\ ##0.00\);\-</c:formatCode>
                <c:ptCount val="12"/>
                <c:pt idx="0">
                  <c:v>-2012.4999999999998</c:v>
                </c:pt>
                <c:pt idx="1">
                  <c:v>-2012.4999999999998</c:v>
                </c:pt>
                <c:pt idx="2">
                  <c:v>-2012.4999999999998</c:v>
                </c:pt>
                <c:pt idx="3">
                  <c:v>-2012.4999999999998</c:v>
                </c:pt>
                <c:pt idx="4">
                  <c:v>-2012.4999999999998</c:v>
                </c:pt>
                <c:pt idx="5">
                  <c:v>-2012.4999999999998</c:v>
                </c:pt>
                <c:pt idx="6">
                  <c:v>-2012.4999999999998</c:v>
                </c:pt>
                <c:pt idx="7">
                  <c:v>-2012.4999999999998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AE-429B-B1AE-B7A02DECF691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Data'!$A$558:$A$569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Data'!$E$558:$E$569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DAE-429B-B1AE-B7A02DECF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Solar office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Data'!$A$573:$A$584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Data'!$B$573:$B$584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2D-492F-9233-FABB4EF90A32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Data'!$A$573:$A$584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Data'!$C$573:$C$584</c:f>
              <c:numCache>
                <c:formatCode>"R"\ #\ ##0.00;[Red]\("R"\ #\ ##0.00\);\-</c:formatCode>
                <c:ptCount val="12"/>
                <c:pt idx="0">
                  <c:v>335.41666666666669</c:v>
                </c:pt>
                <c:pt idx="1">
                  <c:v>335.41666666666669</c:v>
                </c:pt>
                <c:pt idx="2">
                  <c:v>335.41666666666669</c:v>
                </c:pt>
                <c:pt idx="3">
                  <c:v>335.41666666666669</c:v>
                </c:pt>
                <c:pt idx="4">
                  <c:v>335.41666666666669</c:v>
                </c:pt>
                <c:pt idx="5">
                  <c:v>335.41666666666669</c:v>
                </c:pt>
                <c:pt idx="6">
                  <c:v>335.41666666666669</c:v>
                </c:pt>
                <c:pt idx="7">
                  <c:v>335.41666666666669</c:v>
                </c:pt>
                <c:pt idx="8">
                  <c:v>335.41666666666669</c:v>
                </c:pt>
                <c:pt idx="9">
                  <c:v>335.41666666666669</c:v>
                </c:pt>
                <c:pt idx="10">
                  <c:v>335.41666666666669</c:v>
                </c:pt>
                <c:pt idx="11">
                  <c:v>335.41666666666669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2D-492F-9233-FABB4EF90A32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Data'!$A$573:$A$584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Data'!$D$573:$D$584</c:f>
              <c:numCache>
                <c:formatCode>"R"\ #\ ##0.00;[Red]\("R"\ #\ ##0.00\);\-</c:formatCode>
                <c:ptCount val="12"/>
                <c:pt idx="0">
                  <c:v>-335.41666666666669</c:v>
                </c:pt>
                <c:pt idx="1">
                  <c:v>-335.41666666666669</c:v>
                </c:pt>
                <c:pt idx="2">
                  <c:v>-335.41666666666669</c:v>
                </c:pt>
                <c:pt idx="3">
                  <c:v>-335.41666666666669</c:v>
                </c:pt>
                <c:pt idx="4">
                  <c:v>-335.41666666666669</c:v>
                </c:pt>
                <c:pt idx="5">
                  <c:v>-335.41666666666669</c:v>
                </c:pt>
                <c:pt idx="6">
                  <c:v>-335.41666666666669</c:v>
                </c:pt>
                <c:pt idx="7">
                  <c:v>-335.41666666666669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2D-492F-9233-FABB4EF90A32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Data'!$A$573:$A$584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Data'!$E$573:$E$584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2D-492F-9233-FABB4EF90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sz="900"/>
              <a:t>30KVA GENERATOR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Income</c:v>
          </c:tx>
          <c:marker>
            <c:symbol val="none"/>
          </c:marker>
          <c:cat>
            <c:strRef>
              <c:f>'Machine Graph Data'!$A$588:$A$599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Data'!$B$588:$B$599</c:f>
              <c:numCache>
                <c:formatCode>"R"\ #\ ##0.00;[Red]\("R"\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6B-4E30-8F1B-F1A0A857E964}"/>
            </c:ext>
          </c:extLst>
        </c:ser>
        <c:ser>
          <c:idx val="1"/>
          <c:order val="1"/>
          <c:tx>
            <c:v>Fixed Expenses</c:v>
          </c:tx>
          <c:marker>
            <c:symbol val="none"/>
          </c:marker>
          <c:cat>
            <c:strRef>
              <c:f>'Machine Graph Data'!$A$588:$A$599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Data'!$C$588:$C$599</c:f>
              <c:numCache>
                <c:formatCode>"R"\ #\ ##0.00;[Red]\("R"\ #\ ##0.00\);\-</c:formatCode>
                <c:ptCount val="12"/>
                <c:pt idx="0">
                  <c:v>4024.9999999999995</c:v>
                </c:pt>
                <c:pt idx="1">
                  <c:v>4024.9999999999995</c:v>
                </c:pt>
                <c:pt idx="2">
                  <c:v>4024.9999999999995</c:v>
                </c:pt>
                <c:pt idx="3">
                  <c:v>4024.9999999999995</c:v>
                </c:pt>
                <c:pt idx="4">
                  <c:v>4024.9999999999995</c:v>
                </c:pt>
                <c:pt idx="5">
                  <c:v>4024.9999999999995</c:v>
                </c:pt>
                <c:pt idx="6">
                  <c:v>4024.9999999999995</c:v>
                </c:pt>
                <c:pt idx="7">
                  <c:v>4024.9999999999995</c:v>
                </c:pt>
                <c:pt idx="8">
                  <c:v>4024.9999999999995</c:v>
                </c:pt>
                <c:pt idx="9">
                  <c:v>4024.9999999999995</c:v>
                </c:pt>
                <c:pt idx="10">
                  <c:v>4024.9999999999995</c:v>
                </c:pt>
                <c:pt idx="11">
                  <c:v>4024.9999999999995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B-4E30-8F1B-F1A0A857E964}"/>
            </c:ext>
          </c:extLst>
        </c:ser>
        <c:ser>
          <c:idx val="2"/>
          <c:order val="2"/>
          <c:tx>
            <c:v>Profit / Loss</c:v>
          </c:tx>
          <c:marker>
            <c:symbol val="none"/>
          </c:marker>
          <c:cat>
            <c:strRef>
              <c:f>'Machine Graph Data'!$A$588:$A$599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Data'!$D$588:$D$599</c:f>
              <c:numCache>
                <c:formatCode>"R"\ #\ ##0.00;[Red]\("R"\ #\ ##0.00\);\-</c:formatCode>
                <c:ptCount val="12"/>
                <c:pt idx="0">
                  <c:v>-4024.9999999999995</c:v>
                </c:pt>
                <c:pt idx="1">
                  <c:v>-4024.9999999999995</c:v>
                </c:pt>
                <c:pt idx="2">
                  <c:v>-4024.9999999999995</c:v>
                </c:pt>
                <c:pt idx="3">
                  <c:v>-4024.9999999999995</c:v>
                </c:pt>
                <c:pt idx="4">
                  <c:v>-4024.9999999999995</c:v>
                </c:pt>
                <c:pt idx="5">
                  <c:v>-4024.9999999999995</c:v>
                </c:pt>
                <c:pt idx="6">
                  <c:v>-4024.9999999999995</c:v>
                </c:pt>
                <c:pt idx="7">
                  <c:v>-4024.9999999999995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B-4E30-8F1B-F1A0A857E964}"/>
            </c:ext>
          </c:extLst>
        </c:ser>
        <c:ser>
          <c:idx val="3"/>
          <c:order val="3"/>
          <c:tx>
            <c:v>Monthly Running Cost</c:v>
          </c:tx>
          <c:marker>
            <c:symbol val="none"/>
          </c:marker>
          <c:cat>
            <c:strRef>
              <c:f>'Machine Graph Data'!$A$588:$A$599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'Machine Graph Data'!$E$588:$E$599</c:f>
              <c:numCache>
                <c:formatCode>\R\ #\ ##0.00;[Red]\(\R\ #\ 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6B-4E30-8F1B-F1A0A857E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&quot;R&quot;\ #\ ##0.00;[Red]\(&quot;R&quot;\ #\ ##0.00\);\-" sourceLinked="1"/>
        <c:majorTickMark val="none"/>
        <c:minorTickMark val="none"/>
        <c:tickLblPos val="nextTo"/>
        <c:txPr>
          <a:bodyPr anchorCtr="1"/>
          <a:lstStyle/>
          <a:p>
            <a:pPr>
              <a:defRPr sz="600"/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0</xdr:colOff>
      <xdr:row>17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17</xdr:col>
      <xdr:colOff>0</xdr:colOff>
      <xdr:row>17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19</xdr:row>
      <xdr:rowOff>0</xdr:rowOff>
    </xdr:from>
    <xdr:to>
      <xdr:col>17</xdr:col>
      <xdr:colOff>0</xdr:colOff>
      <xdr:row>34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8</xdr:col>
      <xdr:colOff>0</xdr:colOff>
      <xdr:row>51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36</xdr:row>
      <xdr:rowOff>0</xdr:rowOff>
    </xdr:from>
    <xdr:to>
      <xdr:col>17</xdr:col>
      <xdr:colOff>0</xdr:colOff>
      <xdr:row>51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53</xdr:row>
      <xdr:rowOff>0</xdr:rowOff>
    </xdr:from>
    <xdr:to>
      <xdr:col>8</xdr:col>
      <xdr:colOff>0</xdr:colOff>
      <xdr:row>68</xdr:row>
      <xdr:rowOff>0</xdr:rowOff>
    </xdr:to>
    <xdr:graphicFrame macro="">
      <xdr:nvGraphicFramePr>
        <xdr:cNvPr id="8" name="Chart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53</xdr:row>
      <xdr:rowOff>0</xdr:rowOff>
    </xdr:from>
    <xdr:to>
      <xdr:col>17</xdr:col>
      <xdr:colOff>0</xdr:colOff>
      <xdr:row>68</xdr:row>
      <xdr:rowOff>0</xdr:rowOff>
    </xdr:to>
    <xdr:graphicFrame macro="">
      <xdr:nvGraphicFramePr>
        <xdr:cNvPr id="9" name="Chart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70</xdr:row>
      <xdr:rowOff>0</xdr:rowOff>
    </xdr:from>
    <xdr:to>
      <xdr:col>8</xdr:col>
      <xdr:colOff>0</xdr:colOff>
      <xdr:row>85</xdr:row>
      <xdr:rowOff>0</xdr:rowOff>
    </xdr:to>
    <xdr:graphicFrame macro="">
      <xdr:nvGraphicFramePr>
        <xdr:cNvPr id="10" name="Chart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70</xdr:row>
      <xdr:rowOff>0</xdr:rowOff>
    </xdr:from>
    <xdr:to>
      <xdr:col>17</xdr:col>
      <xdr:colOff>0</xdr:colOff>
      <xdr:row>85</xdr:row>
      <xdr:rowOff>0</xdr:rowOff>
    </xdr:to>
    <xdr:graphicFrame macro="">
      <xdr:nvGraphicFramePr>
        <xdr:cNvPr id="11" name="Chart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87</xdr:row>
      <xdr:rowOff>0</xdr:rowOff>
    </xdr:from>
    <xdr:to>
      <xdr:col>8</xdr:col>
      <xdr:colOff>0</xdr:colOff>
      <xdr:row>102</xdr:row>
      <xdr:rowOff>0</xdr:rowOff>
    </xdr:to>
    <xdr:graphicFrame macro="">
      <xdr:nvGraphicFramePr>
        <xdr:cNvPr id="12" name="Chart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87</xdr:row>
      <xdr:rowOff>0</xdr:rowOff>
    </xdr:from>
    <xdr:to>
      <xdr:col>17</xdr:col>
      <xdr:colOff>0</xdr:colOff>
      <xdr:row>102</xdr:row>
      <xdr:rowOff>0</xdr:rowOff>
    </xdr:to>
    <xdr:graphicFrame macro="">
      <xdr:nvGraphicFramePr>
        <xdr:cNvPr id="13" name="Chart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104</xdr:row>
      <xdr:rowOff>0</xdr:rowOff>
    </xdr:from>
    <xdr:to>
      <xdr:col>8</xdr:col>
      <xdr:colOff>0</xdr:colOff>
      <xdr:row>119</xdr:row>
      <xdr:rowOff>0</xdr:rowOff>
    </xdr:to>
    <xdr:graphicFrame macro="">
      <xdr:nvGraphicFramePr>
        <xdr:cNvPr id="14" name="Chart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104</xdr:row>
      <xdr:rowOff>0</xdr:rowOff>
    </xdr:from>
    <xdr:to>
      <xdr:col>17</xdr:col>
      <xdr:colOff>0</xdr:colOff>
      <xdr:row>119</xdr:row>
      <xdr:rowOff>0</xdr:rowOff>
    </xdr:to>
    <xdr:graphicFrame macro="">
      <xdr:nvGraphicFramePr>
        <xdr:cNvPr id="15" name="Chart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8</xdr:col>
      <xdr:colOff>0</xdr:colOff>
      <xdr:row>136</xdr:row>
      <xdr:rowOff>0</xdr:rowOff>
    </xdr:to>
    <xdr:graphicFrame macro="">
      <xdr:nvGraphicFramePr>
        <xdr:cNvPr id="16" name="Chart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</xdr:col>
      <xdr:colOff>0</xdr:colOff>
      <xdr:row>121</xdr:row>
      <xdr:rowOff>0</xdr:rowOff>
    </xdr:from>
    <xdr:to>
      <xdr:col>17</xdr:col>
      <xdr:colOff>0</xdr:colOff>
      <xdr:row>136</xdr:row>
      <xdr:rowOff>0</xdr:rowOff>
    </xdr:to>
    <xdr:graphicFrame macro="">
      <xdr:nvGraphicFramePr>
        <xdr:cNvPr id="17" name="Chart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137</xdr:row>
      <xdr:rowOff>160020</xdr:rowOff>
    </xdr:from>
    <xdr:to>
      <xdr:col>8</xdr:col>
      <xdr:colOff>0</xdr:colOff>
      <xdr:row>152</xdr:row>
      <xdr:rowOff>160020</xdr:rowOff>
    </xdr:to>
    <xdr:graphicFrame macro="">
      <xdr:nvGraphicFramePr>
        <xdr:cNvPr id="18" name="Chart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17</xdr:col>
      <xdr:colOff>0</xdr:colOff>
      <xdr:row>153</xdr:row>
      <xdr:rowOff>0</xdr:rowOff>
    </xdr:to>
    <xdr:graphicFrame macro="">
      <xdr:nvGraphicFramePr>
        <xdr:cNvPr id="19" name="Chart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155</xdr:row>
      <xdr:rowOff>0</xdr:rowOff>
    </xdr:from>
    <xdr:to>
      <xdr:col>8</xdr:col>
      <xdr:colOff>0</xdr:colOff>
      <xdr:row>170</xdr:row>
      <xdr:rowOff>0</xdr:rowOff>
    </xdr:to>
    <xdr:graphicFrame macro="">
      <xdr:nvGraphicFramePr>
        <xdr:cNvPr id="20" name="Chart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</xdr:col>
      <xdr:colOff>0</xdr:colOff>
      <xdr:row>155</xdr:row>
      <xdr:rowOff>0</xdr:rowOff>
    </xdr:from>
    <xdr:to>
      <xdr:col>17</xdr:col>
      <xdr:colOff>0</xdr:colOff>
      <xdr:row>170</xdr:row>
      <xdr:rowOff>0</xdr:rowOff>
    </xdr:to>
    <xdr:graphicFrame macro="">
      <xdr:nvGraphicFramePr>
        <xdr:cNvPr id="21" name="Chart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172</xdr:row>
      <xdr:rowOff>0</xdr:rowOff>
    </xdr:from>
    <xdr:to>
      <xdr:col>8</xdr:col>
      <xdr:colOff>0</xdr:colOff>
      <xdr:row>187</xdr:row>
      <xdr:rowOff>0</xdr:rowOff>
    </xdr:to>
    <xdr:graphicFrame macro="">
      <xdr:nvGraphicFramePr>
        <xdr:cNvPr id="22" name="Chart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0</xdr:colOff>
      <xdr:row>172</xdr:row>
      <xdr:rowOff>0</xdr:rowOff>
    </xdr:from>
    <xdr:to>
      <xdr:col>17</xdr:col>
      <xdr:colOff>0</xdr:colOff>
      <xdr:row>187</xdr:row>
      <xdr:rowOff>0</xdr:rowOff>
    </xdr:to>
    <xdr:graphicFrame macro="">
      <xdr:nvGraphicFramePr>
        <xdr:cNvPr id="23" name="Chart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189</xdr:row>
      <xdr:rowOff>0</xdr:rowOff>
    </xdr:from>
    <xdr:to>
      <xdr:col>8</xdr:col>
      <xdr:colOff>0</xdr:colOff>
      <xdr:row>204</xdr:row>
      <xdr:rowOff>0</xdr:rowOff>
    </xdr:to>
    <xdr:graphicFrame macro="">
      <xdr:nvGraphicFramePr>
        <xdr:cNvPr id="24" name="Chart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9</xdr:col>
      <xdr:colOff>0</xdr:colOff>
      <xdr:row>189</xdr:row>
      <xdr:rowOff>0</xdr:rowOff>
    </xdr:from>
    <xdr:to>
      <xdr:col>17</xdr:col>
      <xdr:colOff>0</xdr:colOff>
      <xdr:row>204</xdr:row>
      <xdr:rowOff>0</xdr:rowOff>
    </xdr:to>
    <xdr:graphicFrame macro="">
      <xdr:nvGraphicFramePr>
        <xdr:cNvPr id="25" name="Chart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206</xdr:row>
      <xdr:rowOff>0</xdr:rowOff>
    </xdr:from>
    <xdr:to>
      <xdr:col>8</xdr:col>
      <xdr:colOff>0</xdr:colOff>
      <xdr:row>221</xdr:row>
      <xdr:rowOff>0</xdr:rowOff>
    </xdr:to>
    <xdr:graphicFrame macro="">
      <xdr:nvGraphicFramePr>
        <xdr:cNvPr id="26" name="Chart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9</xdr:col>
      <xdr:colOff>0</xdr:colOff>
      <xdr:row>206</xdr:row>
      <xdr:rowOff>0</xdr:rowOff>
    </xdr:from>
    <xdr:to>
      <xdr:col>17</xdr:col>
      <xdr:colOff>0</xdr:colOff>
      <xdr:row>221</xdr:row>
      <xdr:rowOff>0</xdr:rowOff>
    </xdr:to>
    <xdr:graphicFrame macro="">
      <xdr:nvGraphicFramePr>
        <xdr:cNvPr id="27" name="Chart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8</xdr:col>
      <xdr:colOff>0</xdr:colOff>
      <xdr:row>238</xdr:row>
      <xdr:rowOff>0</xdr:rowOff>
    </xdr:to>
    <xdr:graphicFrame macro="">
      <xdr:nvGraphicFramePr>
        <xdr:cNvPr id="28" name="Chart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9</xdr:col>
      <xdr:colOff>0</xdr:colOff>
      <xdr:row>223</xdr:row>
      <xdr:rowOff>0</xdr:rowOff>
    </xdr:from>
    <xdr:to>
      <xdr:col>17</xdr:col>
      <xdr:colOff>0</xdr:colOff>
      <xdr:row>238</xdr:row>
      <xdr:rowOff>0</xdr:rowOff>
    </xdr:to>
    <xdr:graphicFrame macro="">
      <xdr:nvGraphicFramePr>
        <xdr:cNvPr id="29" name="Chart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240</xdr:row>
      <xdr:rowOff>0</xdr:rowOff>
    </xdr:from>
    <xdr:to>
      <xdr:col>8</xdr:col>
      <xdr:colOff>0</xdr:colOff>
      <xdr:row>255</xdr:row>
      <xdr:rowOff>0</xdr:rowOff>
    </xdr:to>
    <xdr:graphicFrame macro="">
      <xdr:nvGraphicFramePr>
        <xdr:cNvPr id="30" name="Chart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9</xdr:col>
      <xdr:colOff>0</xdr:colOff>
      <xdr:row>240</xdr:row>
      <xdr:rowOff>0</xdr:rowOff>
    </xdr:from>
    <xdr:to>
      <xdr:col>17</xdr:col>
      <xdr:colOff>0</xdr:colOff>
      <xdr:row>255</xdr:row>
      <xdr:rowOff>0</xdr:rowOff>
    </xdr:to>
    <xdr:graphicFrame macro="">
      <xdr:nvGraphicFramePr>
        <xdr:cNvPr id="31" name="Chart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257</xdr:row>
      <xdr:rowOff>0</xdr:rowOff>
    </xdr:from>
    <xdr:to>
      <xdr:col>8</xdr:col>
      <xdr:colOff>0</xdr:colOff>
      <xdr:row>272</xdr:row>
      <xdr:rowOff>0</xdr:rowOff>
    </xdr:to>
    <xdr:graphicFrame macro="">
      <xdr:nvGraphicFramePr>
        <xdr:cNvPr id="32" name="Chart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9</xdr:col>
      <xdr:colOff>0</xdr:colOff>
      <xdr:row>257</xdr:row>
      <xdr:rowOff>0</xdr:rowOff>
    </xdr:from>
    <xdr:to>
      <xdr:col>17</xdr:col>
      <xdr:colOff>0</xdr:colOff>
      <xdr:row>272</xdr:row>
      <xdr:rowOff>0</xdr:rowOff>
    </xdr:to>
    <xdr:graphicFrame macro="">
      <xdr:nvGraphicFramePr>
        <xdr:cNvPr id="33" name="Chart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274</xdr:row>
      <xdr:rowOff>0</xdr:rowOff>
    </xdr:from>
    <xdr:to>
      <xdr:col>8</xdr:col>
      <xdr:colOff>0</xdr:colOff>
      <xdr:row>289</xdr:row>
      <xdr:rowOff>0</xdr:rowOff>
    </xdr:to>
    <xdr:graphicFrame macro="">
      <xdr:nvGraphicFramePr>
        <xdr:cNvPr id="34" name="Chart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9</xdr:col>
      <xdr:colOff>0</xdr:colOff>
      <xdr:row>274</xdr:row>
      <xdr:rowOff>0</xdr:rowOff>
    </xdr:from>
    <xdr:to>
      <xdr:col>17</xdr:col>
      <xdr:colOff>0</xdr:colOff>
      <xdr:row>289</xdr:row>
      <xdr:rowOff>0</xdr:rowOff>
    </xdr:to>
    <xdr:graphicFrame macro="">
      <xdr:nvGraphicFramePr>
        <xdr:cNvPr id="35" name="Chart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291</xdr:row>
      <xdr:rowOff>0</xdr:rowOff>
    </xdr:from>
    <xdr:to>
      <xdr:col>8</xdr:col>
      <xdr:colOff>0</xdr:colOff>
      <xdr:row>306</xdr:row>
      <xdr:rowOff>0</xdr:rowOff>
    </xdr:to>
    <xdr:graphicFrame macro="">
      <xdr:nvGraphicFramePr>
        <xdr:cNvPr id="36" name="Chart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9</xdr:col>
      <xdr:colOff>0</xdr:colOff>
      <xdr:row>291</xdr:row>
      <xdr:rowOff>0</xdr:rowOff>
    </xdr:from>
    <xdr:to>
      <xdr:col>17</xdr:col>
      <xdr:colOff>0</xdr:colOff>
      <xdr:row>306</xdr:row>
      <xdr:rowOff>0</xdr:rowOff>
    </xdr:to>
    <xdr:graphicFrame macro="">
      <xdr:nvGraphicFramePr>
        <xdr:cNvPr id="37" name="Chart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308</xdr:row>
      <xdr:rowOff>0</xdr:rowOff>
    </xdr:from>
    <xdr:to>
      <xdr:col>8</xdr:col>
      <xdr:colOff>0</xdr:colOff>
      <xdr:row>323</xdr:row>
      <xdr:rowOff>0</xdr:rowOff>
    </xdr:to>
    <xdr:graphicFrame macro="">
      <xdr:nvGraphicFramePr>
        <xdr:cNvPr id="38" name="Chart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9</xdr:col>
      <xdr:colOff>0</xdr:colOff>
      <xdr:row>308</xdr:row>
      <xdr:rowOff>0</xdr:rowOff>
    </xdr:from>
    <xdr:to>
      <xdr:col>17</xdr:col>
      <xdr:colOff>0</xdr:colOff>
      <xdr:row>323</xdr:row>
      <xdr:rowOff>0</xdr:rowOff>
    </xdr:to>
    <xdr:graphicFrame macro="">
      <xdr:nvGraphicFramePr>
        <xdr:cNvPr id="39" name="Chart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325</xdr:row>
      <xdr:rowOff>0</xdr:rowOff>
    </xdr:from>
    <xdr:to>
      <xdr:col>8</xdr:col>
      <xdr:colOff>0</xdr:colOff>
      <xdr:row>340</xdr:row>
      <xdr:rowOff>0</xdr:rowOff>
    </xdr:to>
    <xdr:graphicFrame macro="">
      <xdr:nvGraphicFramePr>
        <xdr:cNvPr id="40" name="Chart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9</xdr:col>
      <xdr:colOff>0</xdr:colOff>
      <xdr:row>325</xdr:row>
      <xdr:rowOff>0</xdr:rowOff>
    </xdr:from>
    <xdr:to>
      <xdr:col>17</xdr:col>
      <xdr:colOff>0</xdr:colOff>
      <xdr:row>340</xdr:row>
      <xdr:rowOff>0</xdr:rowOff>
    </xdr:to>
    <xdr:graphicFrame macro="">
      <xdr:nvGraphicFramePr>
        <xdr:cNvPr id="41" name="Chart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8"/>
  <sheetViews>
    <sheetView workbookViewId="0"/>
  </sheetViews>
  <sheetFormatPr defaultRowHeight="14.4" x14ac:dyDescent="0.3"/>
  <cols>
    <col min="2" max="2" width="36.5546875" customWidth="1"/>
    <col min="3" max="3" width="14.109375" customWidth="1"/>
    <col min="6" max="6" width="13.77734375" customWidth="1"/>
    <col min="7" max="7" width="17.109375" customWidth="1"/>
    <col min="8" max="8" width="15.5546875" customWidth="1"/>
    <col min="9" max="9" width="19" customWidth="1"/>
    <col min="10" max="10" width="24.44140625" customWidth="1"/>
    <col min="12" max="12" width="17.109375" customWidth="1"/>
    <col min="13" max="13" width="14.6640625" customWidth="1"/>
    <col min="14" max="14" width="17.109375" customWidth="1"/>
  </cols>
  <sheetData>
    <row r="1" spans="2:14" s="213" customFormat="1" x14ac:dyDescent="0.3"/>
    <row r="2" spans="2:14" x14ac:dyDescent="0.3">
      <c r="B2" s="222" t="s">
        <v>0</v>
      </c>
      <c r="C2" s="222"/>
      <c r="D2" s="222"/>
      <c r="E2" s="222"/>
      <c r="F2" s="222"/>
      <c r="G2" s="222"/>
      <c r="H2" s="222"/>
      <c r="I2" s="222"/>
      <c r="J2" s="222"/>
      <c r="K2" s="88"/>
      <c r="L2" s="223" t="s">
        <v>1</v>
      </c>
      <c r="M2" s="225" t="s">
        <v>2</v>
      </c>
      <c r="N2" s="214" t="s">
        <v>3</v>
      </c>
    </row>
    <row r="3" spans="2:14" x14ac:dyDescent="0.3">
      <c r="B3" s="222"/>
      <c r="C3" s="222"/>
      <c r="D3" s="222"/>
      <c r="E3" s="222"/>
      <c r="F3" s="222"/>
      <c r="G3" s="222"/>
      <c r="H3" s="222"/>
      <c r="I3" s="222"/>
      <c r="J3" s="222"/>
      <c r="K3" s="88"/>
      <c r="L3" s="224"/>
      <c r="M3" s="226"/>
      <c r="N3" s="215"/>
    </row>
    <row r="4" spans="2:14" x14ac:dyDescent="0.3">
      <c r="B4" s="227" t="s">
        <v>4</v>
      </c>
      <c r="C4" s="228"/>
      <c r="D4" s="228"/>
      <c r="E4" s="228"/>
      <c r="F4" s="228"/>
      <c r="G4" s="228"/>
      <c r="H4" s="228"/>
      <c r="I4" s="229"/>
      <c r="J4" s="4"/>
      <c r="K4" s="95"/>
      <c r="L4" s="96"/>
      <c r="M4" s="97"/>
      <c r="N4" s="98"/>
    </row>
    <row r="5" spans="2:14" x14ac:dyDescent="0.3">
      <c r="B5" s="5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7" t="s">
        <v>11</v>
      </c>
      <c r="I5" s="9" t="s">
        <v>12</v>
      </c>
      <c r="J5" s="10" t="s">
        <v>13</v>
      </c>
      <c r="K5" s="99"/>
      <c r="L5" s="100"/>
      <c r="M5" s="97"/>
      <c r="N5" s="98"/>
    </row>
    <row r="6" spans="2:14" x14ac:dyDescent="0.3">
      <c r="B6" s="11" t="s">
        <v>14</v>
      </c>
      <c r="C6" s="12"/>
      <c r="D6" s="12"/>
      <c r="E6" s="12"/>
      <c r="F6" s="13"/>
      <c r="G6" s="14">
        <v>29566</v>
      </c>
      <c r="H6" s="15">
        <f t="shared" ref="H6:H40" si="0">I6-G6</f>
        <v>4434.8999999999942</v>
      </c>
      <c r="I6" s="16">
        <f t="shared" ref="I6:I40" si="1">G6*1.15</f>
        <v>34000.899999999994</v>
      </c>
      <c r="K6" s="101"/>
      <c r="L6" s="102">
        <f>I6</f>
        <v>34000.899999999994</v>
      </c>
      <c r="M6" s="103">
        <v>0</v>
      </c>
      <c r="N6" s="103">
        <v>0</v>
      </c>
    </row>
    <row r="7" spans="2:14" x14ac:dyDescent="0.3">
      <c r="B7" s="17" t="s">
        <v>15</v>
      </c>
      <c r="C7" s="15"/>
      <c r="D7" s="15"/>
      <c r="E7" s="15"/>
      <c r="F7" s="16" t="s">
        <v>16</v>
      </c>
      <c r="G7" s="15">
        <f>J7/12</f>
        <v>43750</v>
      </c>
      <c r="H7" s="15">
        <f t="shared" si="0"/>
        <v>6562.4999999999927</v>
      </c>
      <c r="I7" s="16">
        <f>G7*1.15</f>
        <v>50312.499999999993</v>
      </c>
      <c r="J7" s="15">
        <f>750000*0.7</f>
        <v>525000</v>
      </c>
      <c r="K7" s="101"/>
      <c r="L7" s="102">
        <f t="shared" ref="L7:L41" si="2">I7</f>
        <v>50312.499999999993</v>
      </c>
      <c r="M7" s="103">
        <v>0</v>
      </c>
      <c r="N7" s="104">
        <v>0</v>
      </c>
    </row>
    <row r="8" spans="2:14" x14ac:dyDescent="0.3">
      <c r="B8" s="17" t="s">
        <v>17</v>
      </c>
      <c r="C8" s="15"/>
      <c r="D8" s="15"/>
      <c r="E8" s="15"/>
      <c r="F8" s="16" t="s">
        <v>18</v>
      </c>
      <c r="G8" s="15">
        <f t="shared" ref="G8:G40" si="3">J8/12</f>
        <v>14583.333333333334</v>
      </c>
      <c r="H8" s="15">
        <f t="shared" si="0"/>
        <v>2187.4999999999982</v>
      </c>
      <c r="I8" s="16">
        <f t="shared" si="1"/>
        <v>16770.833333333332</v>
      </c>
      <c r="J8" s="15">
        <f>250000*0.7</f>
        <v>175000</v>
      </c>
      <c r="K8" s="101"/>
      <c r="L8" s="102">
        <f t="shared" si="2"/>
        <v>16770.833333333332</v>
      </c>
      <c r="M8" s="103">
        <v>0</v>
      </c>
      <c r="N8" s="104">
        <v>0</v>
      </c>
    </row>
    <row r="9" spans="2:14" x14ac:dyDescent="0.3">
      <c r="B9" s="17" t="s">
        <v>19</v>
      </c>
      <c r="C9" s="15"/>
      <c r="D9" s="15"/>
      <c r="E9" s="15"/>
      <c r="F9" s="16" t="s">
        <v>20</v>
      </c>
      <c r="G9" s="15">
        <f t="shared" si="3"/>
        <v>20416.666666666664</v>
      </c>
      <c r="H9" s="15">
        <f t="shared" si="0"/>
        <v>3062.4999999999964</v>
      </c>
      <c r="I9" s="16">
        <f t="shared" si="1"/>
        <v>23479.166666666661</v>
      </c>
      <c r="J9" s="15">
        <f>350000*0.7</f>
        <v>244999.99999999997</v>
      </c>
      <c r="K9" s="101"/>
      <c r="L9" s="102">
        <f t="shared" si="2"/>
        <v>23479.166666666661</v>
      </c>
      <c r="M9" s="103">
        <v>0</v>
      </c>
      <c r="N9" s="104">
        <v>0</v>
      </c>
    </row>
    <row r="10" spans="2:14" x14ac:dyDescent="0.3">
      <c r="B10" s="17" t="s">
        <v>17</v>
      </c>
      <c r="C10" s="15"/>
      <c r="D10" s="15"/>
      <c r="E10" s="15"/>
      <c r="F10" s="15" t="s">
        <v>21</v>
      </c>
      <c r="G10" s="15">
        <f t="shared" si="3"/>
        <v>14583.333333333334</v>
      </c>
      <c r="H10" s="15">
        <f t="shared" si="0"/>
        <v>2187.4999999999982</v>
      </c>
      <c r="I10" s="16">
        <f t="shared" si="1"/>
        <v>16770.833333333332</v>
      </c>
      <c r="J10" s="15">
        <f>250000*0.7</f>
        <v>175000</v>
      </c>
      <c r="K10" s="101"/>
      <c r="L10" s="102">
        <f t="shared" si="2"/>
        <v>16770.833333333332</v>
      </c>
      <c r="M10" s="103">
        <v>0</v>
      </c>
      <c r="N10" s="104">
        <v>0</v>
      </c>
    </row>
    <row r="11" spans="2:14" x14ac:dyDescent="0.3">
      <c r="B11" s="17" t="s">
        <v>22</v>
      </c>
      <c r="C11" s="15"/>
      <c r="D11" s="15"/>
      <c r="E11" s="15"/>
      <c r="F11" s="15" t="s">
        <v>23</v>
      </c>
      <c r="G11" s="15">
        <f t="shared" si="3"/>
        <v>17500</v>
      </c>
      <c r="H11" s="15">
        <f t="shared" si="0"/>
        <v>2625</v>
      </c>
      <c r="I11" s="16">
        <f t="shared" si="1"/>
        <v>20125</v>
      </c>
      <c r="J11" s="15">
        <f>300000*0.7</f>
        <v>210000</v>
      </c>
      <c r="K11" s="101"/>
      <c r="L11" s="102">
        <f t="shared" si="2"/>
        <v>20125</v>
      </c>
      <c r="M11" s="103">
        <v>0</v>
      </c>
      <c r="N11" s="104">
        <v>0</v>
      </c>
    </row>
    <row r="12" spans="2:14" x14ac:dyDescent="0.3">
      <c r="B12" s="17" t="s">
        <v>24</v>
      </c>
      <c r="C12" s="15"/>
      <c r="D12" s="15"/>
      <c r="E12" s="15"/>
      <c r="F12" s="15" t="s">
        <v>25</v>
      </c>
      <c r="G12" s="15">
        <f t="shared" si="3"/>
        <v>8750</v>
      </c>
      <c r="H12" s="15">
        <f t="shared" si="0"/>
        <v>1312.5</v>
      </c>
      <c r="I12" s="16">
        <f t="shared" si="1"/>
        <v>10062.5</v>
      </c>
      <c r="J12" s="15">
        <f>150000*0.7</f>
        <v>105000</v>
      </c>
      <c r="K12" s="101"/>
      <c r="L12" s="102">
        <f t="shared" si="2"/>
        <v>10062.5</v>
      </c>
      <c r="M12" s="103">
        <v>0</v>
      </c>
      <c r="N12" s="104">
        <v>0</v>
      </c>
    </row>
    <row r="13" spans="2:14" x14ac:dyDescent="0.3">
      <c r="B13" s="17" t="s">
        <v>24</v>
      </c>
      <c r="C13" s="15"/>
      <c r="D13" s="15"/>
      <c r="E13" s="15"/>
      <c r="F13" s="15" t="s">
        <v>26</v>
      </c>
      <c r="G13" s="15">
        <f t="shared" si="3"/>
        <v>8750</v>
      </c>
      <c r="H13" s="15">
        <f t="shared" si="0"/>
        <v>1312.5</v>
      </c>
      <c r="I13" s="16">
        <f t="shared" si="1"/>
        <v>10062.5</v>
      </c>
      <c r="J13" s="15">
        <f>150000*0.7</f>
        <v>105000</v>
      </c>
      <c r="K13" s="101"/>
      <c r="L13" s="102">
        <f t="shared" si="2"/>
        <v>10062.5</v>
      </c>
      <c r="M13" s="103">
        <v>0</v>
      </c>
      <c r="N13" s="104">
        <v>0</v>
      </c>
    </row>
    <row r="14" spans="2:14" x14ac:dyDescent="0.3">
      <c r="B14" s="17" t="s">
        <v>27</v>
      </c>
      <c r="C14" s="15"/>
      <c r="D14" s="15"/>
      <c r="E14" s="15"/>
      <c r="F14" s="15" t="s">
        <v>28</v>
      </c>
      <c r="G14" s="15">
        <f t="shared" si="3"/>
        <v>17500</v>
      </c>
      <c r="H14" s="15">
        <f t="shared" si="0"/>
        <v>2625</v>
      </c>
      <c r="I14" s="16">
        <f t="shared" si="1"/>
        <v>20125</v>
      </c>
      <c r="J14" s="15">
        <f>300000*0.7</f>
        <v>210000</v>
      </c>
      <c r="K14" s="101"/>
      <c r="L14" s="102">
        <f t="shared" si="2"/>
        <v>20125</v>
      </c>
      <c r="M14" s="103">
        <v>0</v>
      </c>
      <c r="N14" s="104">
        <v>0</v>
      </c>
    </row>
    <row r="15" spans="2:14" x14ac:dyDescent="0.3">
      <c r="B15" s="17" t="s">
        <v>27</v>
      </c>
      <c r="C15" s="15"/>
      <c r="D15" s="15"/>
      <c r="E15" s="15"/>
      <c r="F15" s="15" t="s">
        <v>29</v>
      </c>
      <c r="G15" s="15">
        <f t="shared" si="3"/>
        <v>37916.666666666664</v>
      </c>
      <c r="H15" s="15">
        <f t="shared" si="0"/>
        <v>5687.4999999999927</v>
      </c>
      <c r="I15" s="16">
        <f t="shared" si="1"/>
        <v>43604.166666666657</v>
      </c>
      <c r="J15" s="15">
        <f>650000*0.7</f>
        <v>455000</v>
      </c>
      <c r="K15" s="101"/>
      <c r="L15" s="102">
        <f t="shared" si="2"/>
        <v>43604.166666666657</v>
      </c>
      <c r="M15" s="103">
        <v>0</v>
      </c>
      <c r="N15" s="104">
        <v>0</v>
      </c>
    </row>
    <row r="16" spans="2:14" x14ac:dyDescent="0.3">
      <c r="B16" s="17" t="s">
        <v>30</v>
      </c>
      <c r="C16" s="15"/>
      <c r="D16" s="15"/>
      <c r="E16" s="15"/>
      <c r="F16" s="15" t="s">
        <v>31</v>
      </c>
      <c r="G16" s="15">
        <f t="shared" si="3"/>
        <v>5833.333333333333</v>
      </c>
      <c r="H16" s="15">
        <f t="shared" si="0"/>
        <v>874.99999999999909</v>
      </c>
      <c r="I16" s="16">
        <f t="shared" si="1"/>
        <v>6708.3333333333321</v>
      </c>
      <c r="J16" s="15">
        <f>100000*0.7</f>
        <v>70000</v>
      </c>
      <c r="K16" s="101"/>
      <c r="L16" s="102">
        <f t="shared" si="2"/>
        <v>6708.3333333333321</v>
      </c>
      <c r="M16" s="103">
        <v>0</v>
      </c>
      <c r="N16" s="104">
        <v>0</v>
      </c>
    </row>
    <row r="17" spans="2:14" x14ac:dyDescent="0.3">
      <c r="B17" s="17" t="s">
        <v>32</v>
      </c>
      <c r="C17" s="15"/>
      <c r="D17" s="15"/>
      <c r="E17" s="15"/>
      <c r="F17" s="15" t="s">
        <v>33</v>
      </c>
      <c r="G17" s="15">
        <f t="shared" si="3"/>
        <v>29166.666666666668</v>
      </c>
      <c r="H17" s="15">
        <f t="shared" si="0"/>
        <v>4374.9999999999964</v>
      </c>
      <c r="I17" s="16">
        <f t="shared" si="1"/>
        <v>33541.666666666664</v>
      </c>
      <c r="J17" s="15">
        <f>500000*0.7</f>
        <v>350000</v>
      </c>
      <c r="K17" s="101"/>
      <c r="L17" s="102">
        <f t="shared" si="2"/>
        <v>33541.666666666664</v>
      </c>
      <c r="M17" s="103">
        <v>0</v>
      </c>
      <c r="N17" s="104">
        <v>0</v>
      </c>
    </row>
    <row r="18" spans="2:14" x14ac:dyDescent="0.3">
      <c r="B18" s="17" t="s">
        <v>34</v>
      </c>
      <c r="C18" s="15"/>
      <c r="D18" s="15"/>
      <c r="E18" s="15"/>
      <c r="F18" s="15" t="s">
        <v>35</v>
      </c>
      <c r="G18" s="15">
        <f t="shared" si="3"/>
        <v>37916.666666666664</v>
      </c>
      <c r="H18" s="15">
        <f t="shared" si="0"/>
        <v>5687.4999999999927</v>
      </c>
      <c r="I18" s="16">
        <f t="shared" si="1"/>
        <v>43604.166666666657</v>
      </c>
      <c r="J18" s="15">
        <f>650000*0.7</f>
        <v>455000</v>
      </c>
      <c r="K18" s="101"/>
      <c r="L18" s="102">
        <f t="shared" si="2"/>
        <v>43604.166666666657</v>
      </c>
      <c r="M18" s="103">
        <v>0</v>
      </c>
      <c r="N18" s="104">
        <v>0</v>
      </c>
    </row>
    <row r="19" spans="2:14" x14ac:dyDescent="0.3">
      <c r="B19" s="17" t="s">
        <v>36</v>
      </c>
      <c r="C19" s="15"/>
      <c r="D19" s="15"/>
      <c r="E19" s="15"/>
      <c r="F19" s="15" t="s">
        <v>37</v>
      </c>
      <c r="G19" s="15">
        <f t="shared" si="3"/>
        <v>17500</v>
      </c>
      <c r="H19" s="15">
        <f t="shared" si="0"/>
        <v>2625</v>
      </c>
      <c r="I19" s="16">
        <f t="shared" si="1"/>
        <v>20125</v>
      </c>
      <c r="J19" s="15">
        <f>300000*0.7</f>
        <v>210000</v>
      </c>
      <c r="K19" s="101"/>
      <c r="L19" s="102">
        <f t="shared" si="2"/>
        <v>20125</v>
      </c>
      <c r="M19" s="103">
        <v>0</v>
      </c>
      <c r="N19" s="103">
        <v>0</v>
      </c>
    </row>
    <row r="20" spans="2:14" x14ac:dyDescent="0.3">
      <c r="B20" s="17" t="s">
        <v>38</v>
      </c>
      <c r="C20" s="15"/>
      <c r="D20" s="15"/>
      <c r="E20" s="15"/>
      <c r="F20" s="15" t="s">
        <v>39</v>
      </c>
      <c r="G20" s="15">
        <f t="shared" si="3"/>
        <v>11666.666666666666</v>
      </c>
      <c r="H20" s="15">
        <f t="shared" si="0"/>
        <v>1749.9999999999982</v>
      </c>
      <c r="I20" s="16">
        <f t="shared" si="1"/>
        <v>13416.666666666664</v>
      </c>
      <c r="J20" s="15">
        <f>200000*0.7</f>
        <v>140000</v>
      </c>
      <c r="K20" s="101"/>
      <c r="L20" s="102">
        <f t="shared" si="2"/>
        <v>13416.666666666664</v>
      </c>
      <c r="M20" s="103">
        <v>0</v>
      </c>
      <c r="N20" s="103">
        <v>0</v>
      </c>
    </row>
    <row r="21" spans="2:14" x14ac:dyDescent="0.3">
      <c r="B21" s="17" t="s">
        <v>40</v>
      </c>
      <c r="C21" s="15"/>
      <c r="D21" s="15"/>
      <c r="E21" s="15"/>
      <c r="F21" s="15" t="s">
        <v>41</v>
      </c>
      <c r="G21" s="15">
        <f t="shared" si="3"/>
        <v>11666.666666666666</v>
      </c>
      <c r="H21" s="15">
        <f t="shared" si="0"/>
        <v>1749.9999999999982</v>
      </c>
      <c r="I21" s="16">
        <f t="shared" si="1"/>
        <v>13416.666666666664</v>
      </c>
      <c r="J21" s="15">
        <f>200000*0.7</f>
        <v>140000</v>
      </c>
      <c r="K21" s="105"/>
      <c r="L21" s="102">
        <f t="shared" si="2"/>
        <v>13416.666666666664</v>
      </c>
      <c r="M21" s="103">
        <v>0</v>
      </c>
      <c r="N21" s="103">
        <v>0</v>
      </c>
    </row>
    <row r="22" spans="2:14" x14ac:dyDescent="0.3">
      <c r="B22" s="17" t="s">
        <v>42</v>
      </c>
      <c r="C22" s="15"/>
      <c r="D22" s="15"/>
      <c r="E22" s="15"/>
      <c r="F22" s="15"/>
      <c r="G22" s="15">
        <f t="shared" si="3"/>
        <v>1458.3333333333333</v>
      </c>
      <c r="H22" s="15">
        <f t="shared" si="0"/>
        <v>218.74999999999977</v>
      </c>
      <c r="I22" s="16">
        <f t="shared" si="1"/>
        <v>1677.083333333333</v>
      </c>
      <c r="J22" s="15">
        <f>25000*0.7</f>
        <v>17500</v>
      </c>
      <c r="K22" s="101"/>
      <c r="L22" s="102">
        <f t="shared" si="2"/>
        <v>1677.083333333333</v>
      </c>
      <c r="M22" s="103">
        <v>0</v>
      </c>
      <c r="N22" s="103">
        <v>0</v>
      </c>
    </row>
    <row r="23" spans="2:14" x14ac:dyDescent="0.3">
      <c r="B23" s="17" t="s">
        <v>43</v>
      </c>
      <c r="C23" s="15"/>
      <c r="D23" s="15"/>
      <c r="E23" s="15"/>
      <c r="F23" s="15"/>
      <c r="G23" s="15">
        <f t="shared" si="3"/>
        <v>3500</v>
      </c>
      <c r="H23" s="15">
        <f t="shared" si="0"/>
        <v>524.99999999999955</v>
      </c>
      <c r="I23" s="16">
        <f t="shared" si="1"/>
        <v>4024.9999999999995</v>
      </c>
      <c r="J23" s="15">
        <f>60000*0.7</f>
        <v>42000</v>
      </c>
      <c r="K23" s="95"/>
      <c r="L23" s="102">
        <f t="shared" si="2"/>
        <v>4024.9999999999995</v>
      </c>
      <c r="M23" s="103">
        <v>0</v>
      </c>
      <c r="N23" s="103">
        <v>0</v>
      </c>
    </row>
    <row r="24" spans="2:14" x14ac:dyDescent="0.3">
      <c r="B24" s="17" t="s">
        <v>44</v>
      </c>
      <c r="C24" s="15"/>
      <c r="D24" s="15"/>
      <c r="E24" s="15"/>
      <c r="F24" s="15"/>
      <c r="G24" s="15">
        <f t="shared" si="3"/>
        <v>554.16666666666663</v>
      </c>
      <c r="H24" s="15">
        <f t="shared" si="0"/>
        <v>83.125</v>
      </c>
      <c r="I24" s="16">
        <f t="shared" si="1"/>
        <v>637.29166666666663</v>
      </c>
      <c r="J24" s="15">
        <f>9500*0.7</f>
        <v>6650</v>
      </c>
      <c r="K24" s="99"/>
      <c r="L24" s="102">
        <f t="shared" si="2"/>
        <v>637.29166666666663</v>
      </c>
      <c r="M24" s="103">
        <v>0</v>
      </c>
      <c r="N24" s="103">
        <v>0</v>
      </c>
    </row>
    <row r="25" spans="2:14" x14ac:dyDescent="0.3">
      <c r="B25" s="17" t="s">
        <v>45</v>
      </c>
      <c r="C25" s="15"/>
      <c r="D25" s="15"/>
      <c r="E25" s="15"/>
      <c r="F25" s="15"/>
      <c r="G25" s="15">
        <f t="shared" si="3"/>
        <v>455</v>
      </c>
      <c r="H25" s="15">
        <f t="shared" si="0"/>
        <v>68.25</v>
      </c>
      <c r="I25" s="16">
        <f t="shared" si="1"/>
        <v>523.25</v>
      </c>
      <c r="J25" s="15">
        <f>7800*0.7</f>
        <v>5460</v>
      </c>
      <c r="K25" s="101"/>
      <c r="L25" s="102">
        <f t="shared" si="2"/>
        <v>523.25</v>
      </c>
      <c r="M25" s="103">
        <v>0</v>
      </c>
      <c r="N25" s="103">
        <v>0</v>
      </c>
    </row>
    <row r="26" spans="2:14" x14ac:dyDescent="0.3">
      <c r="B26" s="17" t="s">
        <v>46</v>
      </c>
      <c r="C26" s="15"/>
      <c r="D26" s="15"/>
      <c r="E26" s="15"/>
      <c r="F26" s="15"/>
      <c r="G26" s="15">
        <f t="shared" si="3"/>
        <v>1458.3333333333333</v>
      </c>
      <c r="H26" s="15">
        <f t="shared" si="0"/>
        <v>218.74999999999977</v>
      </c>
      <c r="I26" s="16">
        <f t="shared" si="1"/>
        <v>1677.083333333333</v>
      </c>
      <c r="J26" s="15">
        <f>25000*0.7</f>
        <v>17500</v>
      </c>
      <c r="K26" s="101"/>
      <c r="L26" s="102">
        <f t="shared" si="2"/>
        <v>1677.083333333333</v>
      </c>
      <c r="M26" s="103">
        <v>0</v>
      </c>
      <c r="N26" s="103">
        <v>0</v>
      </c>
    </row>
    <row r="27" spans="2:14" x14ac:dyDescent="0.3">
      <c r="B27" s="17" t="s">
        <v>47</v>
      </c>
      <c r="C27" s="15"/>
      <c r="D27" s="15"/>
      <c r="E27" s="15"/>
      <c r="F27" s="15"/>
      <c r="G27" s="15">
        <f t="shared" si="3"/>
        <v>700</v>
      </c>
      <c r="H27" s="15">
        <f t="shared" si="0"/>
        <v>104.99999999999989</v>
      </c>
      <c r="I27" s="16">
        <f t="shared" si="1"/>
        <v>804.99999999999989</v>
      </c>
      <c r="J27" s="15">
        <f>12000*0.7</f>
        <v>8400</v>
      </c>
      <c r="K27" s="101"/>
      <c r="L27" s="102">
        <f t="shared" si="2"/>
        <v>804.99999999999989</v>
      </c>
      <c r="M27" s="103">
        <v>0</v>
      </c>
      <c r="N27" s="103">
        <v>0</v>
      </c>
    </row>
    <row r="28" spans="2:14" x14ac:dyDescent="0.3">
      <c r="B28" s="17" t="s">
        <v>48</v>
      </c>
      <c r="C28" s="15"/>
      <c r="D28" s="15"/>
      <c r="E28" s="15"/>
      <c r="F28" s="15" t="s">
        <v>49</v>
      </c>
      <c r="G28" s="15">
        <f t="shared" si="3"/>
        <v>875</v>
      </c>
      <c r="H28" s="15">
        <f t="shared" si="0"/>
        <v>131.24999999999989</v>
      </c>
      <c r="I28" s="16">
        <f t="shared" si="1"/>
        <v>1006.2499999999999</v>
      </c>
      <c r="J28" s="15">
        <f>15000*0.7</f>
        <v>10500</v>
      </c>
      <c r="K28" s="101"/>
      <c r="L28" s="102">
        <f t="shared" si="2"/>
        <v>1006.2499999999999</v>
      </c>
      <c r="M28" s="103">
        <v>0</v>
      </c>
      <c r="N28" s="103">
        <v>0</v>
      </c>
    </row>
    <row r="29" spans="2:14" x14ac:dyDescent="0.3">
      <c r="B29" s="17" t="s">
        <v>50</v>
      </c>
      <c r="C29" s="15"/>
      <c r="D29" s="15"/>
      <c r="E29" s="15"/>
      <c r="F29" s="15"/>
      <c r="G29" s="15">
        <f t="shared" si="3"/>
        <v>3791.6666666666665</v>
      </c>
      <c r="H29" s="15">
        <f t="shared" si="0"/>
        <v>568.74999999999955</v>
      </c>
      <c r="I29" s="16">
        <f t="shared" si="1"/>
        <v>4360.4166666666661</v>
      </c>
      <c r="J29" s="15">
        <f>65000*0.7</f>
        <v>45500</v>
      </c>
      <c r="K29" s="101"/>
      <c r="L29" s="102">
        <f t="shared" si="2"/>
        <v>4360.4166666666661</v>
      </c>
      <c r="M29" s="103">
        <v>0</v>
      </c>
      <c r="N29" s="103">
        <v>0</v>
      </c>
    </row>
    <row r="30" spans="2:14" x14ac:dyDescent="0.3">
      <c r="B30" s="17" t="s">
        <v>50</v>
      </c>
      <c r="C30" s="15"/>
      <c r="D30" s="15"/>
      <c r="E30" s="15"/>
      <c r="F30" s="15"/>
      <c r="G30" s="15">
        <f t="shared" si="3"/>
        <v>2624.9999999999995</v>
      </c>
      <c r="H30" s="15">
        <f t="shared" si="0"/>
        <v>393.74999999999955</v>
      </c>
      <c r="I30" s="16">
        <f t="shared" si="1"/>
        <v>3018.7499999999991</v>
      </c>
      <c r="J30" s="15">
        <f>45000*0.7</f>
        <v>31499.999999999996</v>
      </c>
      <c r="K30" s="105"/>
      <c r="L30" s="102">
        <f t="shared" si="2"/>
        <v>3018.7499999999991</v>
      </c>
      <c r="M30" s="103">
        <v>0</v>
      </c>
      <c r="N30" s="103">
        <v>0</v>
      </c>
    </row>
    <row r="31" spans="2:14" x14ac:dyDescent="0.3">
      <c r="B31" s="20" t="s">
        <v>51</v>
      </c>
      <c r="C31" s="15"/>
      <c r="D31" s="15"/>
      <c r="E31" s="15"/>
      <c r="F31" s="15"/>
      <c r="G31" s="15">
        <f t="shared" si="3"/>
        <v>1633.3333333333333</v>
      </c>
      <c r="H31" s="15">
        <f t="shared" si="0"/>
        <v>244.99999999999977</v>
      </c>
      <c r="I31" s="16">
        <f t="shared" si="1"/>
        <v>1878.333333333333</v>
      </c>
      <c r="J31" s="15">
        <f>28000*0.7</f>
        <v>19600</v>
      </c>
      <c r="K31" s="101"/>
      <c r="L31" s="102">
        <f t="shared" si="2"/>
        <v>1878.333333333333</v>
      </c>
      <c r="M31" s="103">
        <v>0</v>
      </c>
      <c r="N31" s="103">
        <v>0</v>
      </c>
    </row>
    <row r="32" spans="2:14" x14ac:dyDescent="0.3">
      <c r="B32" s="20" t="s">
        <v>51</v>
      </c>
      <c r="C32" s="15"/>
      <c r="D32" s="15"/>
      <c r="E32" s="15"/>
      <c r="F32" s="15"/>
      <c r="G32" s="15">
        <f t="shared" si="3"/>
        <v>2041.6666666666667</v>
      </c>
      <c r="H32" s="15">
        <f t="shared" si="0"/>
        <v>306.24999999999977</v>
      </c>
      <c r="I32" s="16">
        <f t="shared" si="1"/>
        <v>2347.9166666666665</v>
      </c>
      <c r="J32" s="15">
        <f>35000*0.7</f>
        <v>24500</v>
      </c>
      <c r="K32" s="95"/>
      <c r="L32" s="102">
        <f t="shared" si="2"/>
        <v>2347.9166666666665</v>
      </c>
      <c r="M32" s="103">
        <v>0</v>
      </c>
      <c r="N32" s="103">
        <v>0</v>
      </c>
    </row>
    <row r="33" spans="2:14" x14ac:dyDescent="0.3">
      <c r="B33" s="20" t="s">
        <v>51</v>
      </c>
      <c r="C33" s="15"/>
      <c r="D33" s="15"/>
      <c r="E33" s="15"/>
      <c r="F33" s="15"/>
      <c r="G33" s="15">
        <f t="shared" si="3"/>
        <v>2041.6666666666667</v>
      </c>
      <c r="H33" s="15">
        <f t="shared" si="0"/>
        <v>306.24999999999977</v>
      </c>
      <c r="I33" s="16">
        <f t="shared" si="1"/>
        <v>2347.9166666666665</v>
      </c>
      <c r="J33" s="15">
        <f>35000*0.7</f>
        <v>24500</v>
      </c>
      <c r="K33" s="99"/>
      <c r="L33" s="102">
        <f t="shared" si="2"/>
        <v>2347.9166666666665</v>
      </c>
      <c r="M33" s="103">
        <v>0</v>
      </c>
      <c r="N33" s="103">
        <v>0</v>
      </c>
    </row>
    <row r="34" spans="2:14" x14ac:dyDescent="0.3">
      <c r="B34" s="20" t="s">
        <v>51</v>
      </c>
      <c r="C34" s="15"/>
      <c r="D34" s="15"/>
      <c r="E34" s="15"/>
      <c r="F34" s="15"/>
      <c r="G34" s="15">
        <f t="shared" si="3"/>
        <v>2624.9999999999995</v>
      </c>
      <c r="H34" s="15">
        <f t="shared" si="0"/>
        <v>393.74999999999955</v>
      </c>
      <c r="I34" s="16">
        <f t="shared" si="1"/>
        <v>3018.7499999999991</v>
      </c>
      <c r="J34" s="15">
        <f>45000*0.7</f>
        <v>31499.999999999996</v>
      </c>
      <c r="K34" s="101"/>
      <c r="L34" s="102">
        <f t="shared" si="2"/>
        <v>3018.7499999999991</v>
      </c>
      <c r="M34" s="103">
        <v>0</v>
      </c>
      <c r="N34" s="103">
        <v>0</v>
      </c>
    </row>
    <row r="35" spans="2:14" x14ac:dyDescent="0.3">
      <c r="B35" s="20" t="s">
        <v>51</v>
      </c>
      <c r="C35" s="15"/>
      <c r="D35" s="15"/>
      <c r="E35" s="15"/>
      <c r="F35" s="15"/>
      <c r="G35" s="15">
        <f t="shared" si="3"/>
        <v>2041.6666666666667</v>
      </c>
      <c r="H35" s="15">
        <f t="shared" si="0"/>
        <v>306.24999999999977</v>
      </c>
      <c r="I35" s="16">
        <f t="shared" si="1"/>
        <v>2347.9166666666665</v>
      </c>
      <c r="J35" s="15">
        <f>35000*0.7</f>
        <v>24500</v>
      </c>
      <c r="K35" s="101"/>
      <c r="L35" s="102">
        <f t="shared" si="2"/>
        <v>2347.9166666666665</v>
      </c>
      <c r="M35" s="103">
        <v>0</v>
      </c>
      <c r="N35" s="103">
        <v>0</v>
      </c>
    </row>
    <row r="36" spans="2:14" x14ac:dyDescent="0.3">
      <c r="B36" s="20" t="s">
        <v>51</v>
      </c>
      <c r="C36" s="15"/>
      <c r="D36" s="15"/>
      <c r="E36" s="15"/>
      <c r="F36" s="15"/>
      <c r="G36" s="15">
        <f t="shared" si="3"/>
        <v>2041.6666666666667</v>
      </c>
      <c r="H36" s="15">
        <f t="shared" si="0"/>
        <v>306.24999999999977</v>
      </c>
      <c r="I36" s="16">
        <f t="shared" si="1"/>
        <v>2347.9166666666665</v>
      </c>
      <c r="J36" s="15">
        <f>35000*0.7</f>
        <v>24500</v>
      </c>
      <c r="K36" s="101"/>
      <c r="L36" s="102">
        <f t="shared" si="2"/>
        <v>2347.9166666666665</v>
      </c>
      <c r="M36" s="103">
        <v>0</v>
      </c>
      <c r="N36" s="103">
        <v>0</v>
      </c>
    </row>
    <row r="37" spans="2:14" x14ac:dyDescent="0.3">
      <c r="B37" s="20" t="s">
        <v>51</v>
      </c>
      <c r="C37" s="15"/>
      <c r="D37" s="15"/>
      <c r="E37" s="15"/>
      <c r="F37" s="15"/>
      <c r="G37" s="15">
        <f t="shared" si="3"/>
        <v>2624.9999999999995</v>
      </c>
      <c r="H37" s="15">
        <f t="shared" si="0"/>
        <v>393.74999999999955</v>
      </c>
      <c r="I37" s="16">
        <f t="shared" si="1"/>
        <v>3018.7499999999991</v>
      </c>
      <c r="J37" s="15">
        <f>45000*0.7</f>
        <v>31499.999999999996</v>
      </c>
      <c r="K37" s="101"/>
      <c r="L37" s="102">
        <f t="shared" si="2"/>
        <v>3018.7499999999991</v>
      </c>
      <c r="M37" s="103">
        <v>0</v>
      </c>
      <c r="N37" s="103">
        <v>0</v>
      </c>
    </row>
    <row r="38" spans="2:14" x14ac:dyDescent="0.3">
      <c r="B38" s="20" t="s">
        <v>52</v>
      </c>
      <c r="C38" s="15"/>
      <c r="D38" s="15"/>
      <c r="E38" s="15"/>
      <c r="F38" s="15"/>
      <c r="G38" s="15">
        <f t="shared" si="3"/>
        <v>1750</v>
      </c>
      <c r="H38" s="15">
        <f t="shared" si="0"/>
        <v>262.49999999999977</v>
      </c>
      <c r="I38" s="16">
        <f t="shared" si="1"/>
        <v>2012.4999999999998</v>
      </c>
      <c r="J38" s="15">
        <f>30000*0.7</f>
        <v>21000</v>
      </c>
      <c r="K38" s="101"/>
      <c r="L38" s="102">
        <f t="shared" si="2"/>
        <v>2012.4999999999998</v>
      </c>
      <c r="M38" s="103">
        <v>0</v>
      </c>
      <c r="N38" s="103">
        <v>0</v>
      </c>
    </row>
    <row r="39" spans="2:14" x14ac:dyDescent="0.3">
      <c r="B39" s="20" t="s">
        <v>52</v>
      </c>
      <c r="C39" s="15"/>
      <c r="D39" s="15"/>
      <c r="E39" s="15"/>
      <c r="F39" s="15"/>
      <c r="G39" s="15">
        <f t="shared" si="3"/>
        <v>1750</v>
      </c>
      <c r="H39" s="15">
        <f t="shared" si="0"/>
        <v>262.49999999999977</v>
      </c>
      <c r="I39" s="16">
        <f t="shared" si="1"/>
        <v>2012.4999999999998</v>
      </c>
      <c r="J39" s="15">
        <f>30000*0.7</f>
        <v>21000</v>
      </c>
      <c r="K39" s="101"/>
      <c r="L39" s="102">
        <f t="shared" si="2"/>
        <v>2012.4999999999998</v>
      </c>
      <c r="M39" s="103">
        <v>0</v>
      </c>
      <c r="N39" s="103">
        <v>0</v>
      </c>
    </row>
    <row r="40" spans="2:14" x14ac:dyDescent="0.3">
      <c r="B40" s="20" t="s">
        <v>53</v>
      </c>
      <c r="C40" s="15"/>
      <c r="D40" s="15"/>
      <c r="E40" s="15"/>
      <c r="F40" s="15"/>
      <c r="G40" s="15">
        <f t="shared" si="3"/>
        <v>291.66666666666669</v>
      </c>
      <c r="H40" s="15">
        <f t="shared" si="0"/>
        <v>43.75</v>
      </c>
      <c r="I40" s="16">
        <f t="shared" si="1"/>
        <v>335.41666666666669</v>
      </c>
      <c r="J40" s="15">
        <f>5000*0.7</f>
        <v>3500</v>
      </c>
      <c r="K40" s="105"/>
      <c r="L40" s="102">
        <f t="shared" si="2"/>
        <v>335.41666666666669</v>
      </c>
      <c r="M40" s="103">
        <v>0</v>
      </c>
      <c r="N40" s="103">
        <v>0</v>
      </c>
    </row>
    <row r="41" spans="2:14" x14ac:dyDescent="0.3">
      <c r="B41" s="22"/>
      <c r="C41" s="15"/>
      <c r="D41" s="15"/>
      <c r="E41" s="15"/>
      <c r="F41" s="16"/>
      <c r="G41" s="15"/>
      <c r="H41" s="15"/>
      <c r="I41" s="23"/>
      <c r="J41" s="15">
        <f t="shared" ref="J41" si="4">I41*12</f>
        <v>0</v>
      </c>
      <c r="K41" s="101"/>
      <c r="L41" s="102">
        <f t="shared" si="2"/>
        <v>0</v>
      </c>
      <c r="M41" s="103">
        <v>0</v>
      </c>
      <c r="N41" s="103">
        <v>0</v>
      </c>
    </row>
    <row r="42" spans="2:14" x14ac:dyDescent="0.3">
      <c r="B42" s="25"/>
      <c r="C42" s="26"/>
      <c r="D42" s="26"/>
      <c r="E42" s="26"/>
      <c r="F42" s="23"/>
      <c r="G42" s="27">
        <f>SUM(G6:G40)</f>
        <v>361325.16666666674</v>
      </c>
      <c r="H42" s="27">
        <f>SUM(H6:H41)</f>
        <v>54198.774999999958</v>
      </c>
      <c r="I42" s="28">
        <f>SUM(I6:I40)</f>
        <v>415523.94166666677</v>
      </c>
      <c r="J42" s="15">
        <f>SUM(J7:J40)</f>
        <v>3981110</v>
      </c>
      <c r="K42" s="95"/>
      <c r="L42" s="106">
        <f>SUM(L6:L41)</f>
        <v>415523.94166666677</v>
      </c>
      <c r="M42" s="106">
        <f t="shared" ref="M42:N42" si="5">SUM(M6:M41)</f>
        <v>0</v>
      </c>
      <c r="N42" s="106">
        <f t="shared" si="5"/>
        <v>0</v>
      </c>
    </row>
    <row r="43" spans="2:14" x14ac:dyDescent="0.3">
      <c r="B43" s="15"/>
      <c r="C43" s="15"/>
      <c r="D43" s="15"/>
      <c r="E43" s="15"/>
      <c r="F43" s="15"/>
      <c r="G43" s="15"/>
      <c r="H43" s="15"/>
      <c r="I43" s="15"/>
      <c r="K43" s="99"/>
      <c r="L43" s="86"/>
      <c r="M43" s="87"/>
      <c r="N43" s="87"/>
    </row>
    <row r="44" spans="2:14" x14ac:dyDescent="0.3">
      <c r="B44" s="230" t="s">
        <v>4</v>
      </c>
      <c r="C44" s="230"/>
      <c r="D44" s="230"/>
      <c r="E44" s="230"/>
      <c r="F44" s="230"/>
      <c r="G44" s="230"/>
      <c r="H44" s="230"/>
      <c r="I44" s="230"/>
      <c r="J44" s="29" t="s">
        <v>54</v>
      </c>
      <c r="K44" s="101"/>
      <c r="L44" s="223" t="s">
        <v>1</v>
      </c>
      <c r="M44" s="225" t="s">
        <v>2</v>
      </c>
      <c r="N44" s="214" t="s">
        <v>3</v>
      </c>
    </row>
    <row r="45" spans="2:14" x14ac:dyDescent="0.3">
      <c r="B45" s="30" t="s">
        <v>5</v>
      </c>
      <c r="C45" s="31" t="s">
        <v>6</v>
      </c>
      <c r="D45" s="31" t="s">
        <v>7</v>
      </c>
      <c r="E45" s="31" t="s">
        <v>8</v>
      </c>
      <c r="F45" s="32" t="s">
        <v>9</v>
      </c>
      <c r="G45" s="33" t="s">
        <v>10</v>
      </c>
      <c r="H45" s="32" t="s">
        <v>11</v>
      </c>
      <c r="I45" s="34" t="s">
        <v>12</v>
      </c>
      <c r="J45" s="35"/>
      <c r="K45" s="101"/>
      <c r="L45" s="224"/>
      <c r="M45" s="226"/>
      <c r="N45" s="215"/>
    </row>
    <row r="46" spans="2:14" x14ac:dyDescent="0.3">
      <c r="B46" s="11" t="s">
        <v>55</v>
      </c>
      <c r="C46" s="12"/>
      <c r="D46" s="12"/>
      <c r="E46" s="12"/>
      <c r="F46" s="13"/>
      <c r="G46" s="14">
        <f>I46*0.85</f>
        <v>4524.0740000000005</v>
      </c>
      <c r="H46" s="15">
        <f>I46-G46</f>
        <v>798.36599999999999</v>
      </c>
      <c r="I46" s="16">
        <f>3101.37+2221.07</f>
        <v>5322.4400000000005</v>
      </c>
      <c r="K46" s="101"/>
      <c r="L46" s="107">
        <f>I46</f>
        <v>5322.4400000000005</v>
      </c>
      <c r="M46" s="103"/>
      <c r="N46" s="103">
        <v>0</v>
      </c>
    </row>
    <row r="47" spans="2:14" x14ac:dyDescent="0.3">
      <c r="B47" s="17" t="s">
        <v>56</v>
      </c>
      <c r="C47" s="15"/>
      <c r="D47" s="15"/>
      <c r="E47" s="15"/>
      <c r="F47" s="16"/>
      <c r="G47" s="14">
        <f>I47*0.85</f>
        <v>4524.0740000000005</v>
      </c>
      <c r="H47" s="15">
        <f>I47-G47</f>
        <v>798.36599999999999</v>
      </c>
      <c r="I47" s="16">
        <f>3101.37+2221.07</f>
        <v>5322.4400000000005</v>
      </c>
      <c r="K47" s="101"/>
      <c r="L47" s="107">
        <f>I47</f>
        <v>5322.4400000000005</v>
      </c>
      <c r="M47" s="103"/>
      <c r="N47" s="103">
        <v>0</v>
      </c>
    </row>
    <row r="48" spans="2:14" x14ac:dyDescent="0.3">
      <c r="B48" s="17" t="s">
        <v>57</v>
      </c>
      <c r="C48" s="15"/>
      <c r="D48" s="15"/>
      <c r="E48" s="15"/>
      <c r="F48" s="16" t="s">
        <v>58</v>
      </c>
      <c r="G48" s="15">
        <f>J48/12</f>
        <v>0</v>
      </c>
      <c r="H48" s="15">
        <f>I48-G48</f>
        <v>0</v>
      </c>
      <c r="I48" s="16">
        <f>J48/12</f>
        <v>0</v>
      </c>
      <c r="J48" s="15"/>
      <c r="K48" s="101"/>
      <c r="L48" s="107">
        <f t="shared" ref="L48:L49" si="6">I48</f>
        <v>0</v>
      </c>
      <c r="M48" s="103"/>
      <c r="N48" s="103">
        <v>0</v>
      </c>
    </row>
    <row r="49" spans="2:14" x14ac:dyDescent="0.3">
      <c r="B49" s="17" t="s">
        <v>59</v>
      </c>
      <c r="C49" s="15"/>
      <c r="D49" s="15"/>
      <c r="E49" s="15"/>
      <c r="F49" s="16" t="s">
        <v>60</v>
      </c>
      <c r="G49" s="15">
        <f t="shared" ref="G49" si="7">J49/12</f>
        <v>0</v>
      </c>
      <c r="H49" s="15">
        <f>I49-G49</f>
        <v>0</v>
      </c>
      <c r="I49" s="16">
        <f>J49/12</f>
        <v>0</v>
      </c>
      <c r="J49" s="15"/>
      <c r="K49" s="101"/>
      <c r="L49" s="107">
        <f t="shared" si="6"/>
        <v>0</v>
      </c>
      <c r="M49" s="103"/>
      <c r="N49" s="103">
        <v>0</v>
      </c>
    </row>
    <row r="50" spans="2:14" x14ac:dyDescent="0.3">
      <c r="B50" s="25"/>
      <c r="C50" s="26"/>
      <c r="D50" s="26"/>
      <c r="E50" s="26"/>
      <c r="F50" s="23"/>
      <c r="G50" s="27">
        <f>G49+G48+G46</f>
        <v>4524.0740000000005</v>
      </c>
      <c r="H50" s="27">
        <f>H49+H48+H46</f>
        <v>798.36599999999999</v>
      </c>
      <c r="I50" s="28">
        <f>I49+I48+I46+I47</f>
        <v>10644.880000000001</v>
      </c>
      <c r="K50" s="101"/>
      <c r="L50" s="106">
        <f>SUM(L46:L49)</f>
        <v>10644.880000000001</v>
      </c>
      <c r="M50" s="106">
        <f t="shared" ref="M50:N50" si="8">SUM(M46:M49)</f>
        <v>0</v>
      </c>
      <c r="N50" s="106">
        <f t="shared" si="8"/>
        <v>0</v>
      </c>
    </row>
    <row r="51" spans="2:14" x14ac:dyDescent="0.3">
      <c r="B51" s="25"/>
      <c r="C51" s="26"/>
      <c r="D51" s="26"/>
      <c r="E51" s="26"/>
      <c r="F51" s="23"/>
      <c r="G51" s="36"/>
      <c r="H51" s="36"/>
      <c r="I51" s="37"/>
      <c r="K51" s="101"/>
      <c r="L51" s="86"/>
      <c r="M51" s="87"/>
      <c r="N51" s="87"/>
    </row>
    <row r="52" spans="2:14" x14ac:dyDescent="0.3">
      <c r="B52" s="235" t="s">
        <v>4</v>
      </c>
      <c r="C52" s="235"/>
      <c r="D52" s="235"/>
      <c r="E52" s="235"/>
      <c r="F52" s="235"/>
      <c r="G52" s="235"/>
      <c r="H52" s="235"/>
      <c r="I52" s="235"/>
      <c r="J52" s="38" t="s">
        <v>54</v>
      </c>
      <c r="K52" s="101"/>
      <c r="L52" s="223" t="s">
        <v>1</v>
      </c>
      <c r="M52" s="225" t="s">
        <v>2</v>
      </c>
      <c r="N52" s="214" t="s">
        <v>3</v>
      </c>
    </row>
    <row r="53" spans="2:14" x14ac:dyDescent="0.3">
      <c r="B53" s="39" t="s">
        <v>5</v>
      </c>
      <c r="C53" s="40" t="s">
        <v>6</v>
      </c>
      <c r="D53" s="40" t="s">
        <v>7</v>
      </c>
      <c r="E53" s="40" t="s">
        <v>8</v>
      </c>
      <c r="F53" s="41" t="s">
        <v>9</v>
      </c>
      <c r="G53" s="42" t="s">
        <v>10</v>
      </c>
      <c r="H53" s="41" t="s">
        <v>11</v>
      </c>
      <c r="I53" s="43" t="s">
        <v>12</v>
      </c>
      <c r="J53" s="44"/>
      <c r="K53" s="101"/>
      <c r="L53" s="224"/>
      <c r="M53" s="226"/>
      <c r="N53" s="215"/>
    </row>
    <row r="54" spans="2:14" x14ac:dyDescent="0.3">
      <c r="B54" s="11" t="s">
        <v>61</v>
      </c>
      <c r="C54" s="12" t="s">
        <v>62</v>
      </c>
      <c r="D54" s="12" t="s">
        <v>63</v>
      </c>
      <c r="E54" s="12"/>
      <c r="F54" s="13" t="s">
        <v>64</v>
      </c>
      <c r="G54" s="14">
        <v>29036.080000000002</v>
      </c>
      <c r="H54" s="15">
        <v>0</v>
      </c>
      <c r="I54" s="45">
        <v>29036.080000000002</v>
      </c>
      <c r="K54" s="101"/>
      <c r="L54" s="107">
        <f>I54</f>
        <v>29036.080000000002</v>
      </c>
      <c r="M54" s="103"/>
      <c r="N54" s="103">
        <v>0</v>
      </c>
    </row>
    <row r="55" spans="2:14" x14ac:dyDescent="0.3">
      <c r="B55" s="17" t="s">
        <v>65</v>
      </c>
      <c r="C55" s="15" t="s">
        <v>62</v>
      </c>
      <c r="D55" s="15" t="s">
        <v>63</v>
      </c>
      <c r="E55" s="15"/>
      <c r="F55" s="16" t="s">
        <v>66</v>
      </c>
      <c r="G55" s="14">
        <v>29819</v>
      </c>
      <c r="H55" s="15">
        <v>0</v>
      </c>
      <c r="I55" s="45">
        <v>29819</v>
      </c>
      <c r="K55" s="101"/>
      <c r="L55" s="107">
        <f t="shared" ref="L55:L66" si="9">I55</f>
        <v>29819</v>
      </c>
      <c r="M55" s="103"/>
      <c r="N55" s="103">
        <v>0</v>
      </c>
    </row>
    <row r="56" spans="2:14" x14ac:dyDescent="0.3">
      <c r="B56" s="17" t="s">
        <v>67</v>
      </c>
      <c r="C56" s="15" t="s">
        <v>62</v>
      </c>
      <c r="D56" s="15" t="s">
        <v>63</v>
      </c>
      <c r="E56" s="15"/>
      <c r="F56" s="16" t="s">
        <v>68</v>
      </c>
      <c r="G56" s="14">
        <v>19088.95</v>
      </c>
      <c r="H56" s="15">
        <v>0</v>
      </c>
      <c r="I56" s="45">
        <v>19088.95</v>
      </c>
      <c r="K56" s="101"/>
      <c r="L56" s="107">
        <f t="shared" si="9"/>
        <v>19088.95</v>
      </c>
      <c r="M56" s="103"/>
      <c r="N56" s="103">
        <v>0</v>
      </c>
    </row>
    <row r="57" spans="2:14" x14ac:dyDescent="0.3">
      <c r="B57" s="17" t="s">
        <v>69</v>
      </c>
      <c r="C57" s="15" t="s">
        <v>62</v>
      </c>
      <c r="D57" s="15" t="s">
        <v>63</v>
      </c>
      <c r="E57" s="15"/>
      <c r="F57" s="15" t="s">
        <v>70</v>
      </c>
      <c r="G57" s="14">
        <v>28641</v>
      </c>
      <c r="H57" s="15"/>
      <c r="I57" s="45">
        <v>28641</v>
      </c>
      <c r="K57" s="101"/>
      <c r="L57" s="107">
        <f t="shared" si="9"/>
        <v>28641</v>
      </c>
      <c r="M57" s="103"/>
      <c r="N57" s="103">
        <v>0</v>
      </c>
    </row>
    <row r="58" spans="2:14" x14ac:dyDescent="0.3">
      <c r="B58" s="17" t="s">
        <v>71</v>
      </c>
      <c r="C58" s="15" t="s">
        <v>72</v>
      </c>
      <c r="D58" s="15" t="s">
        <v>63</v>
      </c>
      <c r="E58" s="15"/>
      <c r="F58" s="15" t="s">
        <v>64</v>
      </c>
      <c r="G58" s="14">
        <v>2088.5300000000002</v>
      </c>
      <c r="H58" s="15">
        <f t="shared" ref="H58:H66" si="10">G58*15/100</f>
        <v>313.27950000000004</v>
      </c>
      <c r="I58" s="45">
        <f t="shared" ref="I58:I66" si="11">H58+G58</f>
        <v>2401.8095000000003</v>
      </c>
      <c r="K58" s="105"/>
      <c r="L58" s="107">
        <f t="shared" si="9"/>
        <v>2401.8095000000003</v>
      </c>
      <c r="M58" s="103"/>
      <c r="N58" s="103">
        <v>0</v>
      </c>
    </row>
    <row r="59" spans="2:14" x14ac:dyDescent="0.3">
      <c r="B59" s="17" t="s">
        <v>73</v>
      </c>
      <c r="C59" s="15" t="s">
        <v>72</v>
      </c>
      <c r="D59" s="15" t="s">
        <v>63</v>
      </c>
      <c r="E59" s="15"/>
      <c r="F59" s="15" t="s">
        <v>66</v>
      </c>
      <c r="G59" s="14">
        <v>2432.7199999999998</v>
      </c>
      <c r="H59" s="15">
        <f t="shared" si="10"/>
        <v>364.90799999999996</v>
      </c>
      <c r="I59" s="45">
        <f t="shared" si="11"/>
        <v>2797.6279999999997</v>
      </c>
      <c r="K59" s="105"/>
      <c r="L59" s="107">
        <f t="shared" si="9"/>
        <v>2797.6279999999997</v>
      </c>
      <c r="M59" s="103"/>
      <c r="N59" s="103">
        <v>0</v>
      </c>
    </row>
    <row r="60" spans="2:14" x14ac:dyDescent="0.3">
      <c r="B60" s="17" t="s">
        <v>74</v>
      </c>
      <c r="C60" s="15" t="s">
        <v>72</v>
      </c>
      <c r="D60" s="15" t="s">
        <v>63</v>
      </c>
      <c r="E60" s="15"/>
      <c r="F60" s="15" t="s">
        <v>68</v>
      </c>
      <c r="G60" s="14">
        <v>2099.21</v>
      </c>
      <c r="H60" s="15">
        <f t="shared" si="10"/>
        <v>314.88150000000002</v>
      </c>
      <c r="I60" s="45">
        <f t="shared" si="11"/>
        <v>2414.0915</v>
      </c>
      <c r="K60" s="95"/>
      <c r="L60" s="107">
        <f t="shared" si="9"/>
        <v>2414.0915</v>
      </c>
      <c r="M60" s="103"/>
      <c r="N60" s="103">
        <v>0</v>
      </c>
    </row>
    <row r="61" spans="2:14" x14ac:dyDescent="0.3">
      <c r="B61" s="17" t="s">
        <v>75</v>
      </c>
      <c r="C61" s="15" t="s">
        <v>72</v>
      </c>
      <c r="D61" s="15" t="s">
        <v>63</v>
      </c>
      <c r="E61" s="15"/>
      <c r="F61" s="15" t="s">
        <v>70</v>
      </c>
      <c r="G61" s="14">
        <v>1268.9100000000001</v>
      </c>
      <c r="H61" s="15">
        <f t="shared" si="10"/>
        <v>190.3365</v>
      </c>
      <c r="I61" s="45">
        <f t="shared" si="11"/>
        <v>1459.2465000000002</v>
      </c>
      <c r="K61" s="99"/>
      <c r="L61" s="107">
        <f t="shared" si="9"/>
        <v>1459.2465000000002</v>
      </c>
      <c r="M61" s="103"/>
      <c r="N61" s="103">
        <v>0</v>
      </c>
    </row>
    <row r="62" spans="2:14" x14ac:dyDescent="0.3">
      <c r="B62" s="17" t="s">
        <v>76</v>
      </c>
      <c r="C62" s="15" t="s">
        <v>56</v>
      </c>
      <c r="D62" s="15" t="s">
        <v>63</v>
      </c>
      <c r="E62" s="15"/>
      <c r="F62" s="15" t="s">
        <v>64</v>
      </c>
      <c r="G62" s="14">
        <v>603.91999999999996</v>
      </c>
      <c r="H62" s="15">
        <f t="shared" si="10"/>
        <v>90.587999999999994</v>
      </c>
      <c r="I62" s="45">
        <f t="shared" si="11"/>
        <v>694.50799999999992</v>
      </c>
      <c r="K62" s="101"/>
      <c r="L62" s="107">
        <f t="shared" si="9"/>
        <v>694.50799999999992</v>
      </c>
      <c r="M62" s="103"/>
      <c r="N62" s="103">
        <v>0</v>
      </c>
    </row>
    <row r="63" spans="2:14" x14ac:dyDescent="0.3">
      <c r="B63" s="17" t="s">
        <v>77</v>
      </c>
      <c r="C63" s="15" t="s">
        <v>56</v>
      </c>
      <c r="D63" s="15" t="s">
        <v>63</v>
      </c>
      <c r="E63" s="15"/>
      <c r="F63" s="15" t="s">
        <v>66</v>
      </c>
      <c r="G63" s="14">
        <v>526.42999999999995</v>
      </c>
      <c r="H63" s="15">
        <f t="shared" si="10"/>
        <v>78.964499999999987</v>
      </c>
      <c r="I63" s="45">
        <f t="shared" si="11"/>
        <v>605.39449999999988</v>
      </c>
      <c r="K63" s="101"/>
      <c r="L63" s="107">
        <f t="shared" si="9"/>
        <v>605.39449999999988</v>
      </c>
      <c r="M63" s="103"/>
      <c r="N63" s="103">
        <v>0</v>
      </c>
    </row>
    <row r="64" spans="2:14" x14ac:dyDescent="0.3">
      <c r="B64" s="17" t="s">
        <v>78</v>
      </c>
      <c r="C64" s="15" t="s">
        <v>62</v>
      </c>
      <c r="D64" s="15" t="s">
        <v>63</v>
      </c>
      <c r="E64" s="15"/>
      <c r="F64" s="15"/>
      <c r="G64" s="14">
        <v>7818.18</v>
      </c>
      <c r="H64" s="15">
        <f t="shared" si="10"/>
        <v>1172.7270000000001</v>
      </c>
      <c r="I64" s="45">
        <f t="shared" si="11"/>
        <v>8990.9070000000011</v>
      </c>
      <c r="K64" s="101"/>
      <c r="L64" s="107">
        <f t="shared" si="9"/>
        <v>8990.9070000000011</v>
      </c>
      <c r="M64" s="103"/>
      <c r="N64" s="103">
        <v>0</v>
      </c>
    </row>
    <row r="65" spans="2:14" x14ac:dyDescent="0.3">
      <c r="B65" s="17" t="s">
        <v>78</v>
      </c>
      <c r="C65" s="15" t="s">
        <v>72</v>
      </c>
      <c r="D65" s="15" t="s">
        <v>63</v>
      </c>
      <c r="E65" s="15"/>
      <c r="F65" s="15"/>
      <c r="G65" s="14">
        <v>1853.9</v>
      </c>
      <c r="H65" s="15">
        <f t="shared" si="10"/>
        <v>278.08499999999998</v>
      </c>
      <c r="I65" s="45">
        <f t="shared" si="11"/>
        <v>2131.9850000000001</v>
      </c>
      <c r="K65" s="105"/>
      <c r="L65" s="107">
        <f t="shared" si="9"/>
        <v>2131.9850000000001</v>
      </c>
      <c r="M65" s="103"/>
      <c r="N65" s="103">
        <v>0</v>
      </c>
    </row>
    <row r="66" spans="2:14" x14ac:dyDescent="0.3">
      <c r="B66" s="17" t="s">
        <v>78</v>
      </c>
      <c r="C66" s="15" t="s">
        <v>56</v>
      </c>
      <c r="D66" s="15" t="s">
        <v>63</v>
      </c>
      <c r="E66" s="15"/>
      <c r="F66" s="15"/>
      <c r="G66" s="14">
        <v>216.91</v>
      </c>
      <c r="H66" s="15">
        <f t="shared" si="10"/>
        <v>32.536500000000004</v>
      </c>
      <c r="I66" s="45">
        <f t="shared" si="11"/>
        <v>249.44650000000001</v>
      </c>
      <c r="K66" s="105"/>
      <c r="L66" s="107">
        <f t="shared" si="9"/>
        <v>249.44650000000001</v>
      </c>
      <c r="M66" s="103"/>
      <c r="N66" s="103">
        <v>0</v>
      </c>
    </row>
    <row r="67" spans="2:14" x14ac:dyDescent="0.3">
      <c r="B67" s="25"/>
      <c r="C67" s="26"/>
      <c r="D67" s="26"/>
      <c r="E67" s="26"/>
      <c r="F67" s="23"/>
      <c r="G67" s="27">
        <f>SUM(G54:G66)</f>
        <v>125493.73999999999</v>
      </c>
      <c r="H67" s="27">
        <f t="shared" ref="H67:I67" si="12">SUM(H54:H66)</f>
        <v>2836.3065000000001</v>
      </c>
      <c r="I67" s="27">
        <f t="shared" si="12"/>
        <v>128330.0465</v>
      </c>
      <c r="K67" s="95"/>
      <c r="L67" s="108">
        <f>SUM(L54:L66)</f>
        <v>128330.0465</v>
      </c>
      <c r="M67" s="108">
        <f t="shared" ref="M67:N67" si="13">SUM(M54:M66)</f>
        <v>0</v>
      </c>
      <c r="N67" s="108">
        <f t="shared" si="13"/>
        <v>0</v>
      </c>
    </row>
    <row r="68" spans="2:14" x14ac:dyDescent="0.3">
      <c r="B68" s="15"/>
      <c r="C68" s="15"/>
      <c r="D68" s="15"/>
      <c r="E68" s="15"/>
      <c r="F68" s="15"/>
      <c r="G68" s="15"/>
      <c r="H68" s="15"/>
      <c r="I68" s="15"/>
      <c r="K68" s="99"/>
      <c r="L68" s="86"/>
      <c r="M68" s="87"/>
      <c r="N68" s="87"/>
    </row>
    <row r="69" spans="2:14" x14ac:dyDescent="0.3">
      <c r="B69" s="216" t="s">
        <v>79</v>
      </c>
      <c r="C69" s="217"/>
      <c r="D69" s="217"/>
      <c r="E69" s="217"/>
      <c r="F69" s="217"/>
      <c r="G69" s="217"/>
      <c r="H69" s="217"/>
      <c r="I69" s="218"/>
      <c r="K69" s="101"/>
      <c r="L69" s="89" t="s">
        <v>1</v>
      </c>
      <c r="M69" s="90" t="s">
        <v>2</v>
      </c>
      <c r="N69" s="91" t="s">
        <v>3</v>
      </c>
    </row>
    <row r="70" spans="2:14" x14ac:dyDescent="0.3">
      <c r="B70" s="46" t="s">
        <v>5</v>
      </c>
      <c r="C70" s="47" t="s">
        <v>6</v>
      </c>
      <c r="D70" s="47" t="s">
        <v>7</v>
      </c>
      <c r="E70" s="47" t="s">
        <v>8</v>
      </c>
      <c r="F70" s="48" t="s">
        <v>9</v>
      </c>
      <c r="G70" s="49" t="s">
        <v>10</v>
      </c>
      <c r="H70" s="48" t="s">
        <v>11</v>
      </c>
      <c r="I70" s="50" t="s">
        <v>12</v>
      </c>
      <c r="K70" s="101"/>
      <c r="L70" s="92"/>
      <c r="M70" s="93"/>
      <c r="N70" s="94"/>
    </row>
    <row r="71" spans="2:14" x14ac:dyDescent="0.3">
      <c r="B71" s="11"/>
      <c r="C71" s="12"/>
      <c r="D71" s="12"/>
      <c r="E71" s="12"/>
      <c r="F71" s="12"/>
      <c r="G71" s="12"/>
      <c r="H71" s="12"/>
      <c r="I71" s="13"/>
      <c r="K71" s="101"/>
      <c r="L71" s="107">
        <v>0</v>
      </c>
      <c r="M71" s="103">
        <v>0</v>
      </c>
      <c r="N71" s="104">
        <v>0</v>
      </c>
    </row>
    <row r="72" spans="2:14" x14ac:dyDescent="0.3">
      <c r="B72" s="17"/>
      <c r="C72" s="15"/>
      <c r="D72" s="15"/>
      <c r="E72" s="15"/>
      <c r="F72" s="15"/>
      <c r="G72" s="15"/>
      <c r="H72" s="15"/>
      <c r="I72" s="16"/>
      <c r="K72" s="101"/>
      <c r="L72" s="107">
        <v>0</v>
      </c>
      <c r="M72" s="103">
        <v>0</v>
      </c>
      <c r="N72" s="104">
        <v>0</v>
      </c>
    </row>
    <row r="73" spans="2:14" x14ac:dyDescent="0.3">
      <c r="B73" s="17"/>
      <c r="C73" s="15"/>
      <c r="D73" s="15"/>
      <c r="E73" s="15"/>
      <c r="F73" s="15"/>
      <c r="G73" s="15"/>
      <c r="H73" s="15"/>
      <c r="I73" s="16"/>
      <c r="K73" s="101"/>
      <c r="L73" s="107">
        <v>0</v>
      </c>
      <c r="M73" s="104">
        <v>0</v>
      </c>
      <c r="N73" s="104">
        <v>0</v>
      </c>
    </row>
    <row r="74" spans="2:14" x14ac:dyDescent="0.3">
      <c r="B74" s="17" t="s">
        <v>80</v>
      </c>
      <c r="C74" s="15"/>
      <c r="D74" s="15"/>
      <c r="E74" s="15"/>
      <c r="F74" s="15"/>
      <c r="G74" s="15"/>
      <c r="H74" s="15"/>
      <c r="I74" s="16">
        <f>157200+20000</f>
        <v>177200</v>
      </c>
      <c r="K74" s="101"/>
      <c r="L74" s="107">
        <v>0</v>
      </c>
      <c r="M74" s="103">
        <v>0</v>
      </c>
      <c r="N74" s="104">
        <f>I74</f>
        <v>177200</v>
      </c>
    </row>
    <row r="75" spans="2:14" x14ac:dyDescent="0.3">
      <c r="B75" s="17" t="s">
        <v>81</v>
      </c>
      <c r="C75" s="15"/>
      <c r="D75" s="15"/>
      <c r="E75" s="15"/>
      <c r="F75" s="15"/>
      <c r="G75" s="15"/>
      <c r="H75" s="15"/>
      <c r="I75" s="16">
        <v>235000</v>
      </c>
      <c r="K75" s="101"/>
      <c r="L75" s="107">
        <f>I75</f>
        <v>235000</v>
      </c>
      <c r="M75" s="103">
        <v>0</v>
      </c>
      <c r="N75" s="104">
        <v>0</v>
      </c>
    </row>
    <row r="76" spans="2:14" x14ac:dyDescent="0.3">
      <c r="B76" s="51"/>
      <c r="C76" s="26"/>
      <c r="D76" s="26"/>
      <c r="E76" s="26"/>
      <c r="F76" s="26"/>
      <c r="G76" s="26"/>
      <c r="H76" s="26"/>
      <c r="I76" s="23"/>
      <c r="J76" s="15"/>
      <c r="K76" s="105"/>
      <c r="L76" s="107">
        <v>0</v>
      </c>
      <c r="M76" s="103">
        <v>0</v>
      </c>
      <c r="N76" s="104">
        <v>0</v>
      </c>
    </row>
    <row r="77" spans="2:14" x14ac:dyDescent="0.3">
      <c r="G77" s="52">
        <f>SUM(G71:G76)</f>
        <v>0</v>
      </c>
      <c r="H77" s="52">
        <f>SUM(H71:H76)</f>
        <v>0</v>
      </c>
      <c r="I77" s="28">
        <f>SUM(I71:I76)</f>
        <v>412200</v>
      </c>
      <c r="K77" s="101"/>
      <c r="L77" s="106">
        <f>SUM(L71:L76)</f>
        <v>235000</v>
      </c>
      <c r="M77" s="106">
        <f t="shared" ref="M77:N77" si="14">SUM(M71:M76)</f>
        <v>0</v>
      </c>
      <c r="N77" s="106">
        <f t="shared" si="14"/>
        <v>177200</v>
      </c>
    </row>
    <row r="78" spans="2:14" ht="18" x14ac:dyDescent="0.35">
      <c r="G78" s="53"/>
      <c r="H78" s="53"/>
      <c r="I78" s="53"/>
      <c r="K78" s="109"/>
      <c r="L78" s="86"/>
      <c r="M78" s="87"/>
      <c r="N78" s="87"/>
    </row>
    <row r="79" spans="2:14" x14ac:dyDescent="0.3">
      <c r="B79" s="219" t="s">
        <v>82</v>
      </c>
      <c r="C79" s="220"/>
      <c r="D79" s="220"/>
      <c r="E79" s="220"/>
      <c r="F79" s="220"/>
      <c r="G79" s="220"/>
      <c r="H79" s="220"/>
      <c r="I79" s="221"/>
      <c r="K79" s="101"/>
      <c r="L79" s="89" t="s">
        <v>1</v>
      </c>
      <c r="M79" s="90" t="s">
        <v>2</v>
      </c>
      <c r="N79" s="91" t="s">
        <v>3</v>
      </c>
    </row>
    <row r="80" spans="2:14" x14ac:dyDescent="0.3">
      <c r="B80" s="54" t="s">
        <v>5</v>
      </c>
      <c r="C80" s="55" t="s">
        <v>6</v>
      </c>
      <c r="D80" s="55" t="s">
        <v>7</v>
      </c>
      <c r="E80" s="55" t="s">
        <v>8</v>
      </c>
      <c r="F80" s="56" t="s">
        <v>9</v>
      </c>
      <c r="G80" s="57" t="s">
        <v>10</v>
      </c>
      <c r="H80" s="56" t="s">
        <v>11</v>
      </c>
      <c r="I80" s="58" t="s">
        <v>12</v>
      </c>
      <c r="K80" s="101"/>
      <c r="L80" s="92"/>
      <c r="M80" s="93"/>
      <c r="N80" s="94"/>
    </row>
    <row r="81" spans="2:14" ht="21" x14ac:dyDescent="0.4">
      <c r="B81" s="11" t="s">
        <v>83</v>
      </c>
      <c r="C81" s="12" t="s">
        <v>84</v>
      </c>
      <c r="D81" s="12" t="s">
        <v>85</v>
      </c>
      <c r="E81" s="12">
        <v>1</v>
      </c>
      <c r="F81" s="12">
        <v>2150</v>
      </c>
      <c r="G81" s="12">
        <v>2150</v>
      </c>
      <c r="H81" s="12">
        <v>322.5</v>
      </c>
      <c r="I81" s="13">
        <v>2472.5</v>
      </c>
      <c r="K81" s="110"/>
      <c r="L81" s="107"/>
      <c r="M81" s="103">
        <f>I81</f>
        <v>2472.5</v>
      </c>
      <c r="N81" s="104"/>
    </row>
    <row r="82" spans="2:14" x14ac:dyDescent="0.3">
      <c r="B82" s="17" t="s">
        <v>86</v>
      </c>
      <c r="C82" s="15" t="s">
        <v>84</v>
      </c>
      <c r="D82" s="15" t="s">
        <v>87</v>
      </c>
      <c r="E82" s="15">
        <v>1</v>
      </c>
      <c r="F82" s="15">
        <v>1970</v>
      </c>
      <c r="G82" s="15">
        <v>1970</v>
      </c>
      <c r="H82" s="15">
        <f>G82*1.15</f>
        <v>2265.5</v>
      </c>
      <c r="I82" s="16">
        <f>H82*E82</f>
        <v>2265.5</v>
      </c>
      <c r="K82" s="101"/>
      <c r="L82" s="107"/>
      <c r="M82" s="103"/>
      <c r="N82" s="104">
        <f>I82</f>
        <v>2265.5</v>
      </c>
    </row>
    <row r="83" spans="2:14" x14ac:dyDescent="0.3">
      <c r="B83" s="51" t="s">
        <v>88</v>
      </c>
      <c r="C83" s="26" t="s">
        <v>89</v>
      </c>
      <c r="D83" s="26" t="s">
        <v>90</v>
      </c>
      <c r="E83" s="26">
        <v>1</v>
      </c>
      <c r="F83" s="26">
        <v>14827.91</v>
      </c>
      <c r="G83" s="26">
        <f t="shared" ref="G83" si="15">E83*F83</f>
        <v>14827.91</v>
      </c>
      <c r="H83" s="26">
        <f t="shared" ref="H83:H84" si="16">G83*15/100</f>
        <v>2224.1864999999998</v>
      </c>
      <c r="I83" s="23">
        <f>(G83+H83)/12</f>
        <v>1421.0080416666667</v>
      </c>
      <c r="K83" s="101"/>
      <c r="L83" s="107"/>
      <c r="M83" s="103"/>
      <c r="N83" s="104">
        <f>I83</f>
        <v>1421.0080416666667</v>
      </c>
    </row>
    <row r="84" spans="2:14" x14ac:dyDescent="0.3">
      <c r="C84" s="15"/>
      <c r="D84" s="15"/>
      <c r="E84" s="15"/>
      <c r="F84" s="15"/>
      <c r="G84" s="52">
        <f>SUM(G81:G83)</f>
        <v>18947.91</v>
      </c>
      <c r="H84" s="52">
        <f t="shared" si="16"/>
        <v>2842.1865000000003</v>
      </c>
      <c r="I84" s="28">
        <f>I83+I82+I81</f>
        <v>6159.0080416666669</v>
      </c>
      <c r="K84" s="101"/>
      <c r="L84" s="106">
        <f>L82+L81+L83</f>
        <v>0</v>
      </c>
      <c r="M84" s="106">
        <f t="shared" ref="M84:N84" si="17">M82+M81+M83</f>
        <v>2472.5</v>
      </c>
      <c r="N84" s="106">
        <f t="shared" si="17"/>
        <v>3686.5080416666669</v>
      </c>
    </row>
    <row r="85" spans="2:14" x14ac:dyDescent="0.3">
      <c r="C85" s="15"/>
      <c r="D85" s="15"/>
      <c r="E85" s="15"/>
      <c r="F85" s="15"/>
      <c r="G85" s="53"/>
      <c r="H85" s="53"/>
      <c r="I85" s="53"/>
      <c r="K85" s="101"/>
      <c r="L85" s="86"/>
      <c r="M85" s="87"/>
      <c r="N85" s="87"/>
    </row>
    <row r="86" spans="2:14" x14ac:dyDescent="0.3">
      <c r="B86" s="231" t="s">
        <v>91</v>
      </c>
      <c r="C86" s="232"/>
      <c r="D86" s="232"/>
      <c r="E86" s="232"/>
      <c r="F86" s="232"/>
      <c r="G86" s="232"/>
      <c r="H86" s="232"/>
      <c r="I86" s="233"/>
      <c r="K86" s="101"/>
      <c r="L86" s="89" t="s">
        <v>1</v>
      </c>
      <c r="M86" s="90" t="s">
        <v>2</v>
      </c>
      <c r="N86" s="91" t="s">
        <v>3</v>
      </c>
    </row>
    <row r="87" spans="2:14" x14ac:dyDescent="0.3">
      <c r="B87" s="67" t="s">
        <v>5</v>
      </c>
      <c r="C87" s="68" t="s">
        <v>6</v>
      </c>
      <c r="D87" s="68" t="s">
        <v>7</v>
      </c>
      <c r="E87" s="68" t="s">
        <v>8</v>
      </c>
      <c r="F87" s="69" t="s">
        <v>9</v>
      </c>
      <c r="G87" s="70" t="s">
        <v>10</v>
      </c>
      <c r="H87" s="69" t="s">
        <v>11</v>
      </c>
      <c r="I87" s="71" t="s">
        <v>12</v>
      </c>
      <c r="K87" s="101"/>
      <c r="L87" s="92"/>
      <c r="M87" s="93"/>
      <c r="N87" s="94"/>
    </row>
    <row r="88" spans="2:14" x14ac:dyDescent="0.3">
      <c r="B88" s="11" t="s">
        <v>92</v>
      </c>
      <c r="C88" s="12"/>
      <c r="D88" s="12"/>
      <c r="E88" s="12"/>
      <c r="F88" s="12"/>
      <c r="G88" s="12">
        <f>I88*0.85</f>
        <v>21250</v>
      </c>
      <c r="H88" s="12">
        <f>I88-G88</f>
        <v>3750</v>
      </c>
      <c r="I88" s="13">
        <v>25000</v>
      </c>
      <c r="K88" s="101"/>
      <c r="L88" s="107"/>
      <c r="M88" s="103"/>
      <c r="N88" s="103">
        <f>I88</f>
        <v>25000</v>
      </c>
    </row>
    <row r="89" spans="2:14" x14ac:dyDescent="0.3">
      <c r="B89" s="17" t="s">
        <v>93</v>
      </c>
      <c r="C89" s="15"/>
      <c r="D89" s="15"/>
      <c r="E89" s="15"/>
      <c r="F89" s="15"/>
      <c r="G89" s="15">
        <f>I89*0.85</f>
        <v>3230</v>
      </c>
      <c r="H89" s="15">
        <f>I89-G89</f>
        <v>570</v>
      </c>
      <c r="I89" s="16">
        <v>3800</v>
      </c>
      <c r="K89" s="101"/>
      <c r="L89" s="107"/>
      <c r="M89" s="103"/>
      <c r="N89" s="103">
        <f>I89</f>
        <v>3800</v>
      </c>
    </row>
    <row r="90" spans="2:14" x14ac:dyDescent="0.3">
      <c r="B90" s="17"/>
      <c r="C90" s="15"/>
      <c r="D90" s="15"/>
      <c r="E90" s="15"/>
      <c r="F90" s="15"/>
      <c r="G90" s="15"/>
      <c r="H90" s="15"/>
      <c r="I90" s="16"/>
      <c r="K90" s="101"/>
      <c r="L90" s="107"/>
      <c r="M90" s="103"/>
      <c r="N90" s="103">
        <f>J70</f>
        <v>0</v>
      </c>
    </row>
    <row r="91" spans="2:14" x14ac:dyDescent="0.3">
      <c r="B91" s="17"/>
      <c r="C91" s="15"/>
      <c r="D91" s="15"/>
      <c r="E91" s="15"/>
      <c r="F91" s="15"/>
      <c r="G91" s="15"/>
      <c r="H91" s="15"/>
      <c r="I91" s="16"/>
      <c r="K91" s="111"/>
      <c r="L91" s="107"/>
      <c r="M91" s="103"/>
      <c r="N91" s="103">
        <f>J71</f>
        <v>0</v>
      </c>
    </row>
    <row r="92" spans="2:14" x14ac:dyDescent="0.3">
      <c r="B92" s="17"/>
      <c r="C92" s="15"/>
      <c r="D92" s="15"/>
      <c r="E92" s="15"/>
      <c r="F92" s="15"/>
      <c r="G92" s="15"/>
      <c r="H92" s="15"/>
      <c r="I92" s="16"/>
      <c r="K92" s="112"/>
      <c r="L92" s="107"/>
      <c r="M92" s="103"/>
      <c r="N92" s="103">
        <f>J74</f>
        <v>0</v>
      </c>
    </row>
    <row r="93" spans="2:14" x14ac:dyDescent="0.3">
      <c r="B93" s="51"/>
      <c r="C93" s="26"/>
      <c r="D93" s="26"/>
      <c r="E93" s="26"/>
      <c r="F93" s="26"/>
      <c r="G93" s="26"/>
      <c r="H93" s="26"/>
      <c r="I93" s="23"/>
      <c r="K93" s="101"/>
      <c r="L93" s="107"/>
      <c r="M93" s="103">
        <f>J75</f>
        <v>0</v>
      </c>
      <c r="N93" s="103"/>
    </row>
    <row r="94" spans="2:14" x14ac:dyDescent="0.3">
      <c r="C94" s="15"/>
      <c r="D94" s="15"/>
      <c r="E94" s="15"/>
      <c r="F94" s="15"/>
      <c r="G94" s="72">
        <f>G93+G92+G91+G90+G89+G88</f>
        <v>24480</v>
      </c>
      <c r="H94" s="72">
        <f t="shared" ref="H94:I94" si="18">H93+H92+H91+H90+H89+H88</f>
        <v>4320</v>
      </c>
      <c r="I94" s="73">
        <f t="shared" si="18"/>
        <v>28800</v>
      </c>
      <c r="K94" s="101"/>
      <c r="L94" s="106">
        <f>SUM(L88:L93)</f>
        <v>0</v>
      </c>
      <c r="M94" s="106">
        <f t="shared" ref="M94:N94" si="19">SUM(M88:M93)</f>
        <v>0</v>
      </c>
      <c r="N94" s="106">
        <f t="shared" si="19"/>
        <v>28800</v>
      </c>
    </row>
    <row r="95" spans="2:14" x14ac:dyDescent="0.3">
      <c r="C95" s="15"/>
      <c r="D95" s="15"/>
      <c r="E95" s="15"/>
      <c r="F95" s="15"/>
      <c r="G95" s="15"/>
      <c r="H95" s="15"/>
      <c r="I95" s="15"/>
      <c r="K95" s="101"/>
      <c r="L95" s="86"/>
      <c r="M95" s="87"/>
      <c r="N95" s="87"/>
    </row>
    <row r="96" spans="2:14" x14ac:dyDescent="0.3">
      <c r="C96" s="15"/>
      <c r="D96" s="15"/>
      <c r="E96" s="15"/>
      <c r="F96" s="15" t="s">
        <v>94</v>
      </c>
      <c r="G96" s="15"/>
      <c r="H96" s="15"/>
      <c r="I96" s="15">
        <v>10000</v>
      </c>
      <c r="J96" t="s">
        <v>95</v>
      </c>
      <c r="K96" s="15"/>
      <c r="L96" s="113">
        <f>I96</f>
        <v>10000</v>
      </c>
      <c r="M96" s="87"/>
      <c r="N96" s="87"/>
    </row>
    <row r="97" spans="3:14" ht="15.6" x14ac:dyDescent="0.3">
      <c r="C97" s="15"/>
      <c r="D97" s="15"/>
      <c r="E97" s="15"/>
      <c r="F97" s="15" t="s">
        <v>96</v>
      </c>
      <c r="G97" s="15"/>
      <c r="H97" s="15"/>
      <c r="I97" s="15">
        <v>100000</v>
      </c>
      <c r="J97" s="74" t="s">
        <v>96</v>
      </c>
      <c r="K97" s="15"/>
      <c r="L97" s="113">
        <f>I97</f>
        <v>100000</v>
      </c>
      <c r="M97" s="87"/>
      <c r="N97" s="87"/>
    </row>
    <row r="98" spans="3:14" ht="18" x14ac:dyDescent="0.35">
      <c r="D98" s="234" t="s">
        <v>97</v>
      </c>
      <c r="E98" s="234"/>
      <c r="F98" s="234"/>
      <c r="G98" s="75">
        <f>G94+G84+G77+G42+G67+G50</f>
        <v>534770.89066666679</v>
      </c>
      <c r="H98" s="75">
        <f>H94+H84+H77+H42+H67+H50</f>
        <v>64995.633999999962</v>
      </c>
      <c r="I98" s="75">
        <f>I94+I84+I77+I42+I96+I67+I50+I97</f>
        <v>1111657.8762083333</v>
      </c>
      <c r="J98" s="74"/>
      <c r="K98" s="15"/>
      <c r="L98" s="114">
        <f>L94+L77+L67+L50+L42+L84+L96+L97</f>
        <v>899498.86816666671</v>
      </c>
      <c r="M98" s="114">
        <f t="shared" ref="M98:N98" si="20">M94+M77+M67+M50+M42+M84+M96+M97</f>
        <v>2472.5</v>
      </c>
      <c r="N98" s="114">
        <f t="shared" si="20"/>
        <v>209686.50804166668</v>
      </c>
    </row>
  </sheetData>
  <mergeCells count="18">
    <mergeCell ref="B86:I86"/>
    <mergeCell ref="D98:F98"/>
    <mergeCell ref="B52:I52"/>
    <mergeCell ref="L52:L53"/>
    <mergeCell ref="M52:M53"/>
    <mergeCell ref="A1:XFD1"/>
    <mergeCell ref="N52:N53"/>
    <mergeCell ref="B69:I69"/>
    <mergeCell ref="B79:I79"/>
    <mergeCell ref="B2:J3"/>
    <mergeCell ref="L2:L3"/>
    <mergeCell ref="M2:M3"/>
    <mergeCell ref="N2:N3"/>
    <mergeCell ref="B4:I4"/>
    <mergeCell ref="B44:I44"/>
    <mergeCell ref="L44:L45"/>
    <mergeCell ref="M44:M45"/>
    <mergeCell ref="N44:N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5"/>
  <sheetViews>
    <sheetView workbookViewId="0"/>
  </sheetViews>
  <sheetFormatPr defaultRowHeight="14.4" x14ac:dyDescent="0.3"/>
  <cols>
    <col min="1" max="1" width="3.109375" customWidth="1"/>
    <col min="2" max="2" width="37.33203125" customWidth="1"/>
    <col min="3" max="3" width="17" customWidth="1"/>
    <col min="4" max="4" width="10.88671875" customWidth="1"/>
    <col min="5" max="5" width="8.88671875" style="76"/>
    <col min="6" max="6" width="15.21875" style="15" customWidth="1"/>
    <col min="7" max="7" width="19" style="15" customWidth="1"/>
    <col min="8" max="8" width="18.44140625" style="15" customWidth="1"/>
    <col min="9" max="9" width="21.109375" style="15" customWidth="1"/>
    <col min="10" max="10" width="24.44140625" customWidth="1"/>
    <col min="11" max="11" width="14.5546875" style="1" customWidth="1"/>
    <col min="12" max="12" width="14.33203125" style="1" customWidth="1"/>
    <col min="13" max="13" width="13" style="1" customWidth="1"/>
    <col min="14" max="14" width="13" style="2" customWidth="1"/>
    <col min="16" max="16" width="11.88671875" style="3" customWidth="1"/>
  </cols>
  <sheetData>
    <row r="1" spans="2:10" s="213" customFormat="1" ht="9.3000000000000007" customHeight="1" x14ac:dyDescent="0.3"/>
    <row r="2" spans="2:10" x14ac:dyDescent="0.3">
      <c r="B2" s="222" t="s">
        <v>0</v>
      </c>
      <c r="C2" s="222"/>
      <c r="D2" s="222"/>
      <c r="E2" s="222"/>
      <c r="F2" s="222"/>
      <c r="G2" s="222"/>
      <c r="H2" s="222"/>
      <c r="I2" s="222"/>
    </row>
    <row r="3" spans="2:10" x14ac:dyDescent="0.3">
      <c r="B3" s="222"/>
      <c r="C3" s="222"/>
      <c r="D3" s="222"/>
      <c r="E3" s="222"/>
      <c r="F3" s="222"/>
      <c r="G3" s="222"/>
      <c r="H3" s="222"/>
      <c r="I3" s="222"/>
    </row>
    <row r="4" spans="2:10" x14ac:dyDescent="0.3">
      <c r="B4" s="227" t="s">
        <v>4</v>
      </c>
      <c r="C4" s="228"/>
      <c r="D4" s="228"/>
      <c r="E4" s="228"/>
      <c r="F4" s="228"/>
      <c r="G4" s="228"/>
      <c r="H4" s="228"/>
      <c r="I4" s="229"/>
      <c r="J4" s="4"/>
    </row>
    <row r="5" spans="2:10" x14ac:dyDescent="0.3">
      <c r="B5" s="5" t="s">
        <v>5</v>
      </c>
      <c r="C5" s="6" t="s">
        <v>6</v>
      </c>
      <c r="D5" s="6" t="s">
        <v>7</v>
      </c>
      <c r="E5" s="6" t="s">
        <v>8</v>
      </c>
      <c r="F5" s="7" t="s">
        <v>9</v>
      </c>
      <c r="G5" s="8" t="s">
        <v>10</v>
      </c>
      <c r="H5" s="7" t="s">
        <v>11</v>
      </c>
      <c r="I5" s="9" t="s">
        <v>12</v>
      </c>
      <c r="J5" s="10" t="s">
        <v>13</v>
      </c>
    </row>
    <row r="6" spans="2:10" x14ac:dyDescent="0.3">
      <c r="B6" s="11" t="s">
        <v>14</v>
      </c>
      <c r="C6" s="12"/>
      <c r="D6" s="12"/>
      <c r="E6" s="12"/>
      <c r="F6" s="13"/>
      <c r="G6" s="14">
        <v>29566</v>
      </c>
      <c r="H6" s="15">
        <f t="shared" ref="H6:H18" si="0">I6-G6</f>
        <v>4434.8999999999942</v>
      </c>
      <c r="I6" s="16">
        <f t="shared" ref="I6:I18" si="1">G6*1.15</f>
        <v>34000.899999999994</v>
      </c>
    </row>
    <row r="7" spans="2:10" x14ac:dyDescent="0.3">
      <c r="B7" s="17" t="s">
        <v>15</v>
      </c>
      <c r="C7" s="15"/>
      <c r="D7" s="15"/>
      <c r="E7" s="15"/>
      <c r="F7" s="16" t="s">
        <v>16</v>
      </c>
      <c r="G7" s="15">
        <f>J7/12</f>
        <v>43750</v>
      </c>
      <c r="H7" s="15">
        <f t="shared" si="0"/>
        <v>6562.4999999999927</v>
      </c>
      <c r="I7" s="16">
        <f t="shared" si="1"/>
        <v>50312.499999999993</v>
      </c>
      <c r="J7" s="15">
        <f>750000*0.7</f>
        <v>525000</v>
      </c>
    </row>
    <row r="8" spans="2:10" x14ac:dyDescent="0.3">
      <c r="B8" s="17" t="s">
        <v>17</v>
      </c>
      <c r="C8" s="15"/>
      <c r="D8" s="15"/>
      <c r="E8" s="15"/>
      <c r="F8" s="16" t="s">
        <v>18</v>
      </c>
      <c r="G8" s="15">
        <f t="shared" ref="G8:G40" si="2">J8/12</f>
        <v>14583.333333333334</v>
      </c>
      <c r="H8" s="15">
        <f t="shared" si="0"/>
        <v>2187.4999999999982</v>
      </c>
      <c r="I8" s="16">
        <f t="shared" si="1"/>
        <v>16770.833333333332</v>
      </c>
      <c r="J8" s="15">
        <f>250000*0.7</f>
        <v>175000</v>
      </c>
    </row>
    <row r="9" spans="2:10" x14ac:dyDescent="0.3">
      <c r="B9" s="17" t="s">
        <v>19</v>
      </c>
      <c r="C9" s="15"/>
      <c r="D9" s="15"/>
      <c r="E9" s="15"/>
      <c r="F9" s="16" t="s">
        <v>20</v>
      </c>
      <c r="G9" s="15">
        <f t="shared" si="2"/>
        <v>20416.666666666664</v>
      </c>
      <c r="H9" s="15">
        <f t="shared" si="0"/>
        <v>3062.4999999999964</v>
      </c>
      <c r="I9" s="16">
        <f t="shared" si="1"/>
        <v>23479.166666666661</v>
      </c>
      <c r="J9" s="15">
        <f>350000*0.7</f>
        <v>244999.99999999997</v>
      </c>
    </row>
    <row r="10" spans="2:10" x14ac:dyDescent="0.3">
      <c r="B10" s="17" t="s">
        <v>17</v>
      </c>
      <c r="C10" s="15"/>
      <c r="D10" s="15"/>
      <c r="E10" s="15"/>
      <c r="F10" s="15" t="s">
        <v>21</v>
      </c>
      <c r="G10" s="15">
        <f t="shared" si="2"/>
        <v>14583.333333333334</v>
      </c>
      <c r="H10" s="15">
        <f t="shared" si="0"/>
        <v>2187.4999999999982</v>
      </c>
      <c r="I10" s="16">
        <f t="shared" si="1"/>
        <v>16770.833333333332</v>
      </c>
      <c r="J10" s="15">
        <f>250000*0.7</f>
        <v>175000</v>
      </c>
    </row>
    <row r="11" spans="2:10" x14ac:dyDescent="0.3">
      <c r="B11" s="17" t="s">
        <v>22</v>
      </c>
      <c r="C11" s="15"/>
      <c r="D11" s="15"/>
      <c r="E11" s="15"/>
      <c r="F11" s="15" t="s">
        <v>23</v>
      </c>
      <c r="G11" s="15">
        <f t="shared" si="2"/>
        <v>17500</v>
      </c>
      <c r="H11" s="15">
        <f t="shared" si="0"/>
        <v>2625</v>
      </c>
      <c r="I11" s="16">
        <f t="shared" si="1"/>
        <v>20125</v>
      </c>
      <c r="J11" s="15">
        <f>300000*0.7</f>
        <v>210000</v>
      </c>
    </row>
    <row r="12" spans="2:10" x14ac:dyDescent="0.3">
      <c r="B12" s="17" t="s">
        <v>24</v>
      </c>
      <c r="C12" s="15"/>
      <c r="D12" s="15"/>
      <c r="E12" s="15"/>
      <c r="F12" s="15" t="s">
        <v>25</v>
      </c>
      <c r="G12" s="15">
        <f t="shared" si="2"/>
        <v>8750</v>
      </c>
      <c r="H12" s="15">
        <f t="shared" si="0"/>
        <v>1312.5</v>
      </c>
      <c r="I12" s="16">
        <f t="shared" si="1"/>
        <v>10062.5</v>
      </c>
      <c r="J12" s="15">
        <f>150000*0.7</f>
        <v>105000</v>
      </c>
    </row>
    <row r="13" spans="2:10" x14ac:dyDescent="0.3">
      <c r="B13" s="17" t="s">
        <v>24</v>
      </c>
      <c r="C13" s="15"/>
      <c r="D13" s="15"/>
      <c r="E13" s="15"/>
      <c r="F13" s="15" t="s">
        <v>26</v>
      </c>
      <c r="G13" s="15">
        <f t="shared" si="2"/>
        <v>8750</v>
      </c>
      <c r="H13" s="15">
        <f t="shared" si="0"/>
        <v>1312.5</v>
      </c>
      <c r="I13" s="16">
        <f t="shared" si="1"/>
        <v>10062.5</v>
      </c>
      <c r="J13" s="15">
        <f>150000*0.7</f>
        <v>105000</v>
      </c>
    </row>
    <row r="14" spans="2:10" x14ac:dyDescent="0.3">
      <c r="B14" s="17" t="s">
        <v>27</v>
      </c>
      <c r="C14" s="15"/>
      <c r="D14" s="15"/>
      <c r="E14" s="15"/>
      <c r="F14" s="15" t="s">
        <v>28</v>
      </c>
      <c r="G14" s="15">
        <f t="shared" si="2"/>
        <v>17500</v>
      </c>
      <c r="H14" s="15">
        <f t="shared" si="0"/>
        <v>2625</v>
      </c>
      <c r="I14" s="16">
        <f t="shared" si="1"/>
        <v>20125</v>
      </c>
      <c r="J14" s="15">
        <f>300000*0.7</f>
        <v>210000</v>
      </c>
    </row>
    <row r="15" spans="2:10" x14ac:dyDescent="0.3">
      <c r="B15" s="17" t="s">
        <v>27</v>
      </c>
      <c r="C15" s="15"/>
      <c r="D15" s="15"/>
      <c r="E15" s="15"/>
      <c r="F15" s="15" t="s">
        <v>29</v>
      </c>
      <c r="G15" s="15">
        <f t="shared" si="2"/>
        <v>37916.666666666664</v>
      </c>
      <c r="H15" s="15">
        <f t="shared" si="0"/>
        <v>5687.4999999999927</v>
      </c>
      <c r="I15" s="16">
        <f t="shared" si="1"/>
        <v>43604.166666666657</v>
      </c>
      <c r="J15" s="15">
        <f>650000*0.7</f>
        <v>455000</v>
      </c>
    </row>
    <row r="16" spans="2:10" x14ac:dyDescent="0.3">
      <c r="B16" s="17" t="s">
        <v>30</v>
      </c>
      <c r="C16" s="15"/>
      <c r="D16" s="15"/>
      <c r="E16" s="15"/>
      <c r="F16" s="15" t="s">
        <v>31</v>
      </c>
      <c r="G16" s="15">
        <f t="shared" si="2"/>
        <v>5833.333333333333</v>
      </c>
      <c r="H16" s="15">
        <f t="shared" si="0"/>
        <v>874.99999999999909</v>
      </c>
      <c r="I16" s="16">
        <f t="shared" si="1"/>
        <v>6708.3333333333321</v>
      </c>
      <c r="J16" s="15">
        <f>100000*0.7</f>
        <v>70000</v>
      </c>
    </row>
    <row r="17" spans="1:11" x14ac:dyDescent="0.3">
      <c r="A17" s="18"/>
      <c r="B17" s="17" t="s">
        <v>32</v>
      </c>
      <c r="C17" s="15"/>
      <c r="D17" s="15"/>
      <c r="E17" s="15"/>
      <c r="F17" s="15" t="s">
        <v>33</v>
      </c>
      <c r="G17" s="15">
        <f t="shared" si="2"/>
        <v>29166.666666666668</v>
      </c>
      <c r="H17" s="15">
        <f t="shared" si="0"/>
        <v>4374.9999999999964</v>
      </c>
      <c r="I17" s="16">
        <f t="shared" si="1"/>
        <v>33541.666666666664</v>
      </c>
      <c r="J17" s="15">
        <f>500000*0.7</f>
        <v>350000</v>
      </c>
    </row>
    <row r="18" spans="1:11" x14ac:dyDescent="0.3">
      <c r="A18" s="18" t="s">
        <v>98</v>
      </c>
      <c r="B18" s="17" t="s">
        <v>34</v>
      </c>
      <c r="C18" s="15"/>
      <c r="D18" s="15"/>
      <c r="E18" s="15"/>
      <c r="F18" s="15" t="s">
        <v>35</v>
      </c>
      <c r="G18" s="15">
        <f t="shared" si="2"/>
        <v>37916.666666666664</v>
      </c>
      <c r="H18" s="15">
        <f t="shared" si="0"/>
        <v>5687.4999999999927</v>
      </c>
      <c r="I18" s="16">
        <f t="shared" si="1"/>
        <v>43604.166666666657</v>
      </c>
      <c r="J18" s="15">
        <f>650000*0.7</f>
        <v>455000</v>
      </c>
    </row>
    <row r="19" spans="1:11" x14ac:dyDescent="0.3">
      <c r="A19" s="18"/>
      <c r="B19" s="17" t="s">
        <v>36</v>
      </c>
      <c r="C19" s="15"/>
      <c r="D19" s="15"/>
      <c r="E19" s="15"/>
      <c r="F19" s="15" t="s">
        <v>37</v>
      </c>
      <c r="G19" s="15">
        <f t="shared" si="2"/>
        <v>17500</v>
      </c>
      <c r="H19" s="15">
        <f t="shared" ref="H19:H40" si="3">I19-G19</f>
        <v>2625</v>
      </c>
      <c r="I19" s="16">
        <f t="shared" ref="I19:I40" si="4">G19*1.15</f>
        <v>20125</v>
      </c>
      <c r="J19" s="15">
        <f>300000*0.7</f>
        <v>210000</v>
      </c>
    </row>
    <row r="20" spans="1:11" x14ac:dyDescent="0.3">
      <c r="A20" s="18"/>
      <c r="B20" s="17" t="s">
        <v>38</v>
      </c>
      <c r="C20" s="15"/>
      <c r="D20" s="15"/>
      <c r="E20" s="15"/>
      <c r="F20" s="15" t="s">
        <v>39</v>
      </c>
      <c r="G20" s="15">
        <f t="shared" si="2"/>
        <v>11666.666666666666</v>
      </c>
      <c r="H20" s="15">
        <f t="shared" si="3"/>
        <v>1749.9999999999982</v>
      </c>
      <c r="I20" s="16">
        <f t="shared" si="4"/>
        <v>13416.666666666664</v>
      </c>
      <c r="J20" s="15">
        <f>200000*0.7</f>
        <v>140000</v>
      </c>
    </row>
    <row r="21" spans="1:11" x14ac:dyDescent="0.3">
      <c r="A21" s="18"/>
      <c r="B21" s="17" t="s">
        <v>40</v>
      </c>
      <c r="C21" s="15"/>
      <c r="D21" s="15"/>
      <c r="E21" s="15"/>
      <c r="F21" s="15" t="s">
        <v>41</v>
      </c>
      <c r="G21" s="15">
        <f t="shared" si="2"/>
        <v>11666.666666666666</v>
      </c>
      <c r="H21" s="15">
        <f t="shared" si="3"/>
        <v>1749.9999999999982</v>
      </c>
      <c r="I21" s="16">
        <f t="shared" si="4"/>
        <v>13416.666666666664</v>
      </c>
      <c r="J21" s="15">
        <f>200000*0.7</f>
        <v>140000</v>
      </c>
    </row>
    <row r="22" spans="1:11" x14ac:dyDescent="0.3">
      <c r="A22" s="18"/>
      <c r="B22" s="17" t="s">
        <v>42</v>
      </c>
      <c r="C22" s="15"/>
      <c r="D22" s="15"/>
      <c r="E22" s="15"/>
      <c r="G22" s="15">
        <f t="shared" si="2"/>
        <v>1458.3333333333333</v>
      </c>
      <c r="H22" s="15">
        <f t="shared" si="3"/>
        <v>218.74999999999977</v>
      </c>
      <c r="I22" s="16">
        <f t="shared" si="4"/>
        <v>1677.083333333333</v>
      </c>
      <c r="J22" s="15">
        <f>25000*0.7</f>
        <v>17500</v>
      </c>
    </row>
    <row r="23" spans="1:11" x14ac:dyDescent="0.3">
      <c r="A23" s="18"/>
      <c r="B23" s="17" t="s">
        <v>43</v>
      </c>
      <c r="C23" s="15"/>
      <c r="D23" s="15"/>
      <c r="E23" s="15"/>
      <c r="G23" s="15">
        <f t="shared" si="2"/>
        <v>3500</v>
      </c>
      <c r="H23" s="15">
        <f t="shared" si="3"/>
        <v>524.99999999999955</v>
      </c>
      <c r="I23" s="16">
        <f t="shared" si="4"/>
        <v>4024.9999999999995</v>
      </c>
      <c r="J23" s="15">
        <f>60000*0.7</f>
        <v>42000</v>
      </c>
      <c r="K23" s="19"/>
    </row>
    <row r="24" spans="1:11" x14ac:dyDescent="0.3">
      <c r="A24" s="18"/>
      <c r="B24" s="17" t="s">
        <v>44</v>
      </c>
      <c r="C24" s="15"/>
      <c r="D24" s="15"/>
      <c r="E24" s="15"/>
      <c r="G24" s="15">
        <f t="shared" si="2"/>
        <v>554.16666666666663</v>
      </c>
      <c r="H24" s="15">
        <f t="shared" si="3"/>
        <v>83.125</v>
      </c>
      <c r="I24" s="16">
        <f t="shared" si="4"/>
        <v>637.29166666666663</v>
      </c>
      <c r="J24" s="15">
        <f>9500*0.7</f>
        <v>6650</v>
      </c>
      <c r="K24" s="19"/>
    </row>
    <row r="25" spans="1:11" x14ac:dyDescent="0.3">
      <c r="A25" s="18"/>
      <c r="B25" s="17" t="s">
        <v>45</v>
      </c>
      <c r="C25" s="15"/>
      <c r="D25" s="15"/>
      <c r="E25" s="15"/>
      <c r="G25" s="15">
        <f t="shared" si="2"/>
        <v>455</v>
      </c>
      <c r="H25" s="15">
        <f t="shared" si="3"/>
        <v>68.25</v>
      </c>
      <c r="I25" s="16">
        <f t="shared" si="4"/>
        <v>523.25</v>
      </c>
      <c r="J25" s="15">
        <f>7800*0.7</f>
        <v>5460</v>
      </c>
      <c r="K25" s="19"/>
    </row>
    <row r="26" spans="1:11" x14ac:dyDescent="0.3">
      <c r="A26" s="18"/>
      <c r="B26" s="17" t="s">
        <v>46</v>
      </c>
      <c r="C26" s="15"/>
      <c r="D26" s="15"/>
      <c r="E26" s="15"/>
      <c r="G26" s="15">
        <f t="shared" si="2"/>
        <v>1458.3333333333333</v>
      </c>
      <c r="H26" s="15">
        <f t="shared" si="3"/>
        <v>218.74999999999977</v>
      </c>
      <c r="I26" s="16">
        <f t="shared" si="4"/>
        <v>1677.083333333333</v>
      </c>
      <c r="J26" s="15">
        <f>25000*0.7</f>
        <v>17500</v>
      </c>
      <c r="K26" s="19"/>
    </row>
    <row r="27" spans="1:11" x14ac:dyDescent="0.3">
      <c r="A27" s="18"/>
      <c r="B27" s="17" t="s">
        <v>47</v>
      </c>
      <c r="C27" s="15"/>
      <c r="D27" s="15"/>
      <c r="E27" s="15"/>
      <c r="G27" s="15">
        <f t="shared" si="2"/>
        <v>700</v>
      </c>
      <c r="H27" s="15">
        <f t="shared" si="3"/>
        <v>104.99999999999989</v>
      </c>
      <c r="I27" s="16">
        <f t="shared" si="4"/>
        <v>804.99999999999989</v>
      </c>
      <c r="J27" s="15">
        <f>12000*0.7</f>
        <v>8400</v>
      </c>
      <c r="K27" s="19"/>
    </row>
    <row r="28" spans="1:11" x14ac:dyDescent="0.3">
      <c r="A28" s="18"/>
      <c r="B28" s="17" t="s">
        <v>48</v>
      </c>
      <c r="C28" s="15"/>
      <c r="D28" s="15"/>
      <c r="E28" s="15"/>
      <c r="F28" s="15" t="s">
        <v>49</v>
      </c>
      <c r="G28" s="15">
        <f t="shared" si="2"/>
        <v>875</v>
      </c>
      <c r="H28" s="15">
        <f t="shared" si="3"/>
        <v>131.24999999999989</v>
      </c>
      <c r="I28" s="16">
        <f t="shared" si="4"/>
        <v>1006.2499999999999</v>
      </c>
      <c r="J28" s="15">
        <f>15000*0.7</f>
        <v>10500</v>
      </c>
      <c r="K28" s="19"/>
    </row>
    <row r="29" spans="1:11" x14ac:dyDescent="0.3">
      <c r="A29" s="18"/>
      <c r="B29" s="17" t="s">
        <v>50</v>
      </c>
      <c r="C29" s="15"/>
      <c r="D29" s="15"/>
      <c r="E29" s="15"/>
      <c r="G29" s="15">
        <f t="shared" si="2"/>
        <v>3791.6666666666665</v>
      </c>
      <c r="H29" s="15">
        <f t="shared" si="3"/>
        <v>568.74999999999955</v>
      </c>
      <c r="I29" s="16">
        <f t="shared" si="4"/>
        <v>4360.4166666666661</v>
      </c>
      <c r="J29" s="15">
        <f>65000*0.7</f>
        <v>45500</v>
      </c>
      <c r="K29" s="19"/>
    </row>
    <row r="30" spans="1:11" x14ac:dyDescent="0.3">
      <c r="A30" s="18"/>
      <c r="B30" s="17" t="s">
        <v>50</v>
      </c>
      <c r="C30" s="15"/>
      <c r="D30" s="15"/>
      <c r="E30" s="15"/>
      <c r="G30" s="15">
        <f t="shared" si="2"/>
        <v>2624.9999999999995</v>
      </c>
      <c r="H30" s="15">
        <f t="shared" si="3"/>
        <v>393.74999999999955</v>
      </c>
      <c r="I30" s="16">
        <f t="shared" si="4"/>
        <v>3018.7499999999991</v>
      </c>
      <c r="J30" s="15">
        <f>45000*0.7</f>
        <v>31499.999999999996</v>
      </c>
      <c r="K30" s="19"/>
    </row>
    <row r="31" spans="1:11" x14ac:dyDescent="0.3">
      <c r="A31" s="18"/>
      <c r="B31" s="20" t="s">
        <v>51</v>
      </c>
      <c r="C31" s="15"/>
      <c r="D31" s="15"/>
      <c r="E31" s="15"/>
      <c r="G31" s="15">
        <f t="shared" si="2"/>
        <v>1633.3333333333333</v>
      </c>
      <c r="H31" s="15">
        <f t="shared" si="3"/>
        <v>244.99999999999977</v>
      </c>
      <c r="I31" s="16">
        <f t="shared" si="4"/>
        <v>1878.333333333333</v>
      </c>
      <c r="J31" s="15">
        <f>28000*0.7</f>
        <v>19600</v>
      </c>
      <c r="K31" s="19"/>
    </row>
    <row r="32" spans="1:11" x14ac:dyDescent="0.3">
      <c r="A32" s="18"/>
      <c r="B32" s="20" t="s">
        <v>51</v>
      </c>
      <c r="C32" s="15"/>
      <c r="D32" s="15"/>
      <c r="E32" s="15"/>
      <c r="G32" s="15">
        <f t="shared" si="2"/>
        <v>2041.6666666666667</v>
      </c>
      <c r="H32" s="15">
        <f t="shared" si="3"/>
        <v>306.24999999999977</v>
      </c>
      <c r="I32" s="16">
        <f t="shared" si="4"/>
        <v>2347.9166666666665</v>
      </c>
      <c r="J32" s="15">
        <f>35000*0.7</f>
        <v>24500</v>
      </c>
      <c r="K32" s="19"/>
    </row>
    <row r="33" spans="1:12" x14ac:dyDescent="0.3">
      <c r="A33" s="18"/>
      <c r="B33" s="20" t="s">
        <v>51</v>
      </c>
      <c r="C33" s="15"/>
      <c r="D33" s="15"/>
      <c r="E33" s="15"/>
      <c r="G33" s="15">
        <f t="shared" si="2"/>
        <v>2041.6666666666667</v>
      </c>
      <c r="H33" s="15">
        <f t="shared" si="3"/>
        <v>306.24999999999977</v>
      </c>
      <c r="I33" s="16">
        <f t="shared" si="4"/>
        <v>2347.9166666666665</v>
      </c>
      <c r="J33" s="15">
        <f>35000*0.7</f>
        <v>24500</v>
      </c>
      <c r="K33" s="19"/>
    </row>
    <row r="34" spans="1:12" x14ac:dyDescent="0.3">
      <c r="A34" s="18"/>
      <c r="B34" s="20" t="s">
        <v>51</v>
      </c>
      <c r="C34" s="15"/>
      <c r="D34" s="15"/>
      <c r="E34" s="15"/>
      <c r="G34" s="15">
        <f t="shared" si="2"/>
        <v>2624.9999999999995</v>
      </c>
      <c r="H34" s="15">
        <f t="shared" si="3"/>
        <v>393.74999999999955</v>
      </c>
      <c r="I34" s="16">
        <f t="shared" si="4"/>
        <v>3018.7499999999991</v>
      </c>
      <c r="J34" s="15">
        <f>45000*0.7</f>
        <v>31499.999999999996</v>
      </c>
      <c r="K34" s="19"/>
    </row>
    <row r="35" spans="1:12" x14ac:dyDescent="0.3">
      <c r="A35" s="18"/>
      <c r="B35" s="20" t="s">
        <v>51</v>
      </c>
      <c r="C35" s="15"/>
      <c r="D35" s="15"/>
      <c r="E35" s="15"/>
      <c r="G35" s="15">
        <f t="shared" si="2"/>
        <v>2041.6666666666667</v>
      </c>
      <c r="H35" s="15">
        <f t="shared" si="3"/>
        <v>306.24999999999977</v>
      </c>
      <c r="I35" s="16">
        <f t="shared" si="4"/>
        <v>2347.9166666666665</v>
      </c>
      <c r="J35" s="15">
        <f>35000*0.7</f>
        <v>24500</v>
      </c>
      <c r="K35" s="19"/>
    </row>
    <row r="36" spans="1:12" x14ac:dyDescent="0.3">
      <c r="A36" s="18"/>
      <c r="B36" s="20" t="s">
        <v>51</v>
      </c>
      <c r="C36" s="15"/>
      <c r="D36" s="15"/>
      <c r="E36" s="15"/>
      <c r="G36" s="15">
        <f t="shared" si="2"/>
        <v>2041.6666666666667</v>
      </c>
      <c r="H36" s="15">
        <f t="shared" si="3"/>
        <v>306.24999999999977</v>
      </c>
      <c r="I36" s="16">
        <f t="shared" si="4"/>
        <v>2347.9166666666665</v>
      </c>
      <c r="J36" s="15">
        <f>35000*0.7</f>
        <v>24500</v>
      </c>
      <c r="K36" s="19"/>
    </row>
    <row r="37" spans="1:12" x14ac:dyDescent="0.3">
      <c r="A37" s="18"/>
      <c r="B37" s="20" t="s">
        <v>51</v>
      </c>
      <c r="C37" s="15"/>
      <c r="D37" s="15"/>
      <c r="E37" s="15"/>
      <c r="G37" s="15">
        <f t="shared" si="2"/>
        <v>2624.9999999999995</v>
      </c>
      <c r="H37" s="15">
        <f t="shared" si="3"/>
        <v>393.74999999999955</v>
      </c>
      <c r="I37" s="16">
        <f t="shared" si="4"/>
        <v>3018.7499999999991</v>
      </c>
      <c r="J37" s="15">
        <f>45000*0.7</f>
        <v>31499.999999999996</v>
      </c>
      <c r="K37" s="19"/>
    </row>
    <row r="38" spans="1:12" x14ac:dyDescent="0.3">
      <c r="A38" s="18"/>
      <c r="B38" s="20" t="s">
        <v>52</v>
      </c>
      <c r="C38" s="15"/>
      <c r="D38" s="15"/>
      <c r="E38" s="15"/>
      <c r="G38" s="15">
        <f t="shared" si="2"/>
        <v>1750</v>
      </c>
      <c r="H38" s="15">
        <f t="shared" si="3"/>
        <v>262.49999999999977</v>
      </c>
      <c r="I38" s="16">
        <f t="shared" si="4"/>
        <v>2012.4999999999998</v>
      </c>
      <c r="J38" s="15">
        <f>30000*0.7</f>
        <v>21000</v>
      </c>
      <c r="K38" s="19"/>
    </row>
    <row r="39" spans="1:12" x14ac:dyDescent="0.3">
      <c r="A39" s="18"/>
      <c r="B39" s="20" t="s">
        <v>52</v>
      </c>
      <c r="C39" s="15"/>
      <c r="D39" s="15"/>
      <c r="E39" s="15"/>
      <c r="G39" s="15">
        <f t="shared" si="2"/>
        <v>1750</v>
      </c>
      <c r="H39" s="15">
        <f t="shared" si="3"/>
        <v>262.49999999999977</v>
      </c>
      <c r="I39" s="16">
        <f t="shared" si="4"/>
        <v>2012.4999999999998</v>
      </c>
      <c r="J39" s="15">
        <f>30000*0.7</f>
        <v>21000</v>
      </c>
      <c r="K39" s="19"/>
    </row>
    <row r="40" spans="1:12" x14ac:dyDescent="0.3">
      <c r="A40" s="18"/>
      <c r="B40" s="20" t="s">
        <v>53</v>
      </c>
      <c r="C40" s="15"/>
      <c r="D40" s="15"/>
      <c r="E40" s="15"/>
      <c r="G40" s="15">
        <f t="shared" si="2"/>
        <v>291.66666666666669</v>
      </c>
      <c r="H40" s="15">
        <f t="shared" si="3"/>
        <v>43.75</v>
      </c>
      <c r="I40" s="16">
        <f t="shared" si="4"/>
        <v>335.41666666666669</v>
      </c>
      <c r="J40" s="15">
        <f>5000*0.7</f>
        <v>3500</v>
      </c>
    </row>
    <row r="41" spans="1:12" x14ac:dyDescent="0.3">
      <c r="A41" s="21"/>
      <c r="B41" s="22"/>
      <c r="C41" s="15"/>
      <c r="D41" s="15"/>
      <c r="E41" s="15"/>
      <c r="F41" s="16"/>
      <c r="I41" s="23"/>
      <c r="J41" s="15">
        <f t="shared" ref="J41" si="5">I41*12</f>
        <v>0</v>
      </c>
    </row>
    <row r="42" spans="1:12" x14ac:dyDescent="0.3">
      <c r="A42" s="24"/>
      <c r="B42" s="25"/>
      <c r="C42" s="26"/>
      <c r="D42" s="26"/>
      <c r="E42" s="26"/>
      <c r="F42" s="23"/>
      <c r="G42" s="27">
        <f>SUM(G6:G40)</f>
        <v>361325.16666666674</v>
      </c>
      <c r="H42" s="27">
        <f>SUM(H6:H41)</f>
        <v>54198.774999999958</v>
      </c>
      <c r="I42" s="28">
        <f>SUM(I6:I40)</f>
        <v>415523.94166666677</v>
      </c>
      <c r="J42" s="15">
        <f>SUM(J7:J40)</f>
        <v>3981110</v>
      </c>
      <c r="K42" s="1">
        <f>J42/12</f>
        <v>331759.16666666669</v>
      </c>
      <c r="L42" s="1">
        <f>J42*1.15</f>
        <v>4578276.5</v>
      </c>
    </row>
    <row r="43" spans="1:12" x14ac:dyDescent="0.3">
      <c r="B43" s="15"/>
      <c r="C43" s="15"/>
      <c r="D43" s="15"/>
      <c r="E43" s="15"/>
      <c r="L43" s="1">
        <f>L42/12</f>
        <v>381523.04166666669</v>
      </c>
    </row>
    <row r="44" spans="1:12" x14ac:dyDescent="0.3">
      <c r="B44" s="230" t="s">
        <v>4</v>
      </c>
      <c r="C44" s="230"/>
      <c r="D44" s="230"/>
      <c r="E44" s="230"/>
      <c r="F44" s="230"/>
      <c r="G44" s="230"/>
      <c r="H44" s="230"/>
      <c r="I44" s="230"/>
      <c r="J44" s="29" t="s">
        <v>54</v>
      </c>
    </row>
    <row r="45" spans="1:12" x14ac:dyDescent="0.3">
      <c r="B45" s="30" t="s">
        <v>5</v>
      </c>
      <c r="C45" s="31" t="s">
        <v>6</v>
      </c>
      <c r="D45" s="31" t="s">
        <v>7</v>
      </c>
      <c r="E45" s="31" t="s">
        <v>8</v>
      </c>
      <c r="F45" s="32" t="s">
        <v>9</v>
      </c>
      <c r="G45" s="33" t="s">
        <v>10</v>
      </c>
      <c r="H45" s="32" t="s">
        <v>11</v>
      </c>
      <c r="I45" s="34" t="s">
        <v>12</v>
      </c>
      <c r="J45" s="35"/>
    </row>
    <row r="46" spans="1:12" x14ac:dyDescent="0.3">
      <c r="B46" s="11" t="s">
        <v>55</v>
      </c>
      <c r="C46" s="12"/>
      <c r="D46" s="12"/>
      <c r="E46" s="12"/>
      <c r="F46" s="13"/>
      <c r="G46" s="14">
        <f>I46*0.85</f>
        <v>4524.0740000000005</v>
      </c>
      <c r="H46" s="15">
        <f>I46-G46</f>
        <v>798.36599999999999</v>
      </c>
      <c r="I46" s="16">
        <f>3101.37+2221.07</f>
        <v>5322.4400000000005</v>
      </c>
    </row>
    <row r="47" spans="1:12" x14ac:dyDescent="0.3">
      <c r="B47" s="17" t="s">
        <v>56</v>
      </c>
      <c r="C47" s="15"/>
      <c r="D47" s="15"/>
      <c r="E47" s="15"/>
      <c r="F47" s="16"/>
      <c r="G47" s="14">
        <f>I47*0.85</f>
        <v>4524.0740000000005</v>
      </c>
      <c r="H47" s="15">
        <f>I47-G47</f>
        <v>798.36599999999999</v>
      </c>
      <c r="I47" s="16">
        <f>3101.37+2221.07</f>
        <v>5322.4400000000005</v>
      </c>
    </row>
    <row r="48" spans="1:12" x14ac:dyDescent="0.3">
      <c r="B48" s="17" t="s">
        <v>57</v>
      </c>
      <c r="C48" s="15"/>
      <c r="D48" s="15"/>
      <c r="E48" s="15"/>
      <c r="F48" s="16" t="s">
        <v>58</v>
      </c>
      <c r="G48" s="15">
        <f>J48/12</f>
        <v>1033.2916666666667</v>
      </c>
      <c r="H48" s="15">
        <f>I48-G48</f>
        <v>0</v>
      </c>
      <c r="I48" s="16">
        <f>J48/12</f>
        <v>1033.2916666666667</v>
      </c>
      <c r="J48" s="15">
        <f>11376+1023.5</f>
        <v>12399.5</v>
      </c>
      <c r="L48" s="1">
        <v>2200</v>
      </c>
    </row>
    <row r="49" spans="2:12" x14ac:dyDescent="0.3">
      <c r="B49" s="17" t="s">
        <v>59</v>
      </c>
      <c r="C49" s="15"/>
      <c r="D49" s="15"/>
      <c r="E49" s="15"/>
      <c r="F49" s="16" t="s">
        <v>60</v>
      </c>
      <c r="G49" s="15">
        <f t="shared" ref="G49" si="6">J49/12</f>
        <v>3318.1416666666664</v>
      </c>
      <c r="H49" s="15">
        <f>I49-G49</f>
        <v>0</v>
      </c>
      <c r="I49" s="16">
        <f>J49/12</f>
        <v>3318.1416666666664</v>
      </c>
      <c r="J49" s="15">
        <f>38794.2+1023.5</f>
        <v>39817.699999999997</v>
      </c>
      <c r="L49" s="1">
        <v>3100</v>
      </c>
    </row>
    <row r="50" spans="2:12" x14ac:dyDescent="0.3">
      <c r="B50" s="25"/>
      <c r="C50" s="26"/>
      <c r="D50" s="26"/>
      <c r="E50" s="26"/>
      <c r="F50" s="23"/>
      <c r="G50" s="27">
        <f>G49+G48+G46</f>
        <v>8875.5073333333348</v>
      </c>
      <c r="H50" s="27">
        <f>H49+H48+H46</f>
        <v>798.36599999999999</v>
      </c>
      <c r="I50" s="28">
        <f>I49+I48+I46</f>
        <v>9673.873333333333</v>
      </c>
    </row>
    <row r="51" spans="2:12" x14ac:dyDescent="0.3">
      <c r="B51" s="25"/>
      <c r="C51" s="26"/>
      <c r="D51" s="26"/>
      <c r="E51" s="26"/>
      <c r="F51" s="23"/>
      <c r="G51" s="36"/>
      <c r="H51" s="36"/>
      <c r="I51" s="37"/>
    </row>
    <row r="52" spans="2:12" x14ac:dyDescent="0.3">
      <c r="B52" s="235" t="s">
        <v>4</v>
      </c>
      <c r="C52" s="235"/>
      <c r="D52" s="235"/>
      <c r="E52" s="235"/>
      <c r="F52" s="235"/>
      <c r="G52" s="235"/>
      <c r="H52" s="235"/>
      <c r="I52" s="235"/>
      <c r="J52" s="38" t="s">
        <v>54</v>
      </c>
    </row>
    <row r="53" spans="2:12" x14ac:dyDescent="0.3">
      <c r="B53" s="39" t="s">
        <v>5</v>
      </c>
      <c r="C53" s="40" t="s">
        <v>6</v>
      </c>
      <c r="D53" s="40" t="s">
        <v>7</v>
      </c>
      <c r="E53" s="40" t="s">
        <v>8</v>
      </c>
      <c r="F53" s="41" t="s">
        <v>9</v>
      </c>
      <c r="G53" s="42" t="s">
        <v>10</v>
      </c>
      <c r="H53" s="41" t="s">
        <v>11</v>
      </c>
      <c r="I53" s="43" t="s">
        <v>12</v>
      </c>
      <c r="J53" s="44"/>
    </row>
    <row r="54" spans="2:12" x14ac:dyDescent="0.3">
      <c r="B54" s="11" t="s">
        <v>61</v>
      </c>
      <c r="C54" s="12" t="s">
        <v>62</v>
      </c>
      <c r="D54" s="12" t="s">
        <v>63</v>
      </c>
      <c r="E54" s="12"/>
      <c r="F54" s="13" t="s">
        <v>64</v>
      </c>
      <c r="G54" s="14">
        <v>29036.080000000002</v>
      </c>
      <c r="H54" s="15">
        <v>0</v>
      </c>
      <c r="I54" s="45">
        <v>29036.080000000002</v>
      </c>
    </row>
    <row r="55" spans="2:12" x14ac:dyDescent="0.3">
      <c r="B55" s="17" t="s">
        <v>65</v>
      </c>
      <c r="C55" s="15" t="s">
        <v>62</v>
      </c>
      <c r="D55" s="15" t="s">
        <v>63</v>
      </c>
      <c r="E55" s="15"/>
      <c r="F55" s="16" t="s">
        <v>66</v>
      </c>
      <c r="G55" s="14">
        <v>29819</v>
      </c>
      <c r="H55" s="15">
        <v>0</v>
      </c>
      <c r="I55" s="45">
        <v>29819</v>
      </c>
    </row>
    <row r="56" spans="2:12" x14ac:dyDescent="0.3">
      <c r="B56" s="17" t="s">
        <v>67</v>
      </c>
      <c r="C56" s="15" t="s">
        <v>62</v>
      </c>
      <c r="D56" s="15" t="s">
        <v>63</v>
      </c>
      <c r="E56" s="15"/>
      <c r="F56" s="16" t="s">
        <v>68</v>
      </c>
      <c r="G56" s="14">
        <v>19088.95</v>
      </c>
      <c r="H56" s="15">
        <v>0</v>
      </c>
      <c r="I56" s="45">
        <v>19088.95</v>
      </c>
    </row>
    <row r="57" spans="2:12" x14ac:dyDescent="0.3">
      <c r="B57" s="17" t="s">
        <v>69</v>
      </c>
      <c r="C57" s="15" t="s">
        <v>62</v>
      </c>
      <c r="D57" s="15" t="s">
        <v>63</v>
      </c>
      <c r="E57" s="15"/>
      <c r="F57" s="15" t="s">
        <v>70</v>
      </c>
      <c r="G57" s="14">
        <v>28641</v>
      </c>
      <c r="I57" s="45">
        <v>28641</v>
      </c>
    </row>
    <row r="58" spans="2:12" x14ac:dyDescent="0.3">
      <c r="B58" s="17" t="s">
        <v>71</v>
      </c>
      <c r="C58" s="15" t="s">
        <v>72</v>
      </c>
      <c r="D58" s="15" t="s">
        <v>63</v>
      </c>
      <c r="E58" s="15"/>
      <c r="F58" s="15" t="s">
        <v>64</v>
      </c>
      <c r="G58" s="14">
        <v>2088.5300000000002</v>
      </c>
      <c r="H58" s="15">
        <f t="shared" ref="H58:H66" si="7">G58*15/100</f>
        <v>313.27950000000004</v>
      </c>
      <c r="I58" s="45">
        <f t="shared" ref="I58:I66" si="8">H58+G58</f>
        <v>2401.8095000000003</v>
      </c>
    </row>
    <row r="59" spans="2:12" x14ac:dyDescent="0.3">
      <c r="B59" s="17" t="s">
        <v>73</v>
      </c>
      <c r="C59" s="15" t="s">
        <v>72</v>
      </c>
      <c r="D59" s="15" t="s">
        <v>63</v>
      </c>
      <c r="E59" s="15"/>
      <c r="F59" s="15" t="s">
        <v>66</v>
      </c>
      <c r="G59" s="14">
        <v>2432.7199999999998</v>
      </c>
      <c r="H59" s="15">
        <f t="shared" si="7"/>
        <v>364.90799999999996</v>
      </c>
      <c r="I59" s="45">
        <f t="shared" si="8"/>
        <v>2797.6279999999997</v>
      </c>
    </row>
    <row r="60" spans="2:12" x14ac:dyDescent="0.3">
      <c r="B60" s="17" t="s">
        <v>74</v>
      </c>
      <c r="C60" s="15" t="s">
        <v>72</v>
      </c>
      <c r="D60" s="15" t="s">
        <v>63</v>
      </c>
      <c r="E60" s="15"/>
      <c r="F60" s="15" t="s">
        <v>68</v>
      </c>
      <c r="G60" s="14">
        <v>2099.21</v>
      </c>
      <c r="H60" s="15">
        <f t="shared" si="7"/>
        <v>314.88150000000002</v>
      </c>
      <c r="I60" s="45">
        <f t="shared" si="8"/>
        <v>2414.0915</v>
      </c>
    </row>
    <row r="61" spans="2:12" x14ac:dyDescent="0.3">
      <c r="B61" s="17" t="s">
        <v>75</v>
      </c>
      <c r="C61" s="15" t="s">
        <v>72</v>
      </c>
      <c r="D61" s="15" t="s">
        <v>63</v>
      </c>
      <c r="E61" s="15"/>
      <c r="F61" s="15" t="s">
        <v>70</v>
      </c>
      <c r="G61" s="14">
        <v>1268.9100000000001</v>
      </c>
      <c r="H61" s="15">
        <f t="shared" si="7"/>
        <v>190.3365</v>
      </c>
      <c r="I61" s="45">
        <f t="shared" si="8"/>
        <v>1459.2465000000002</v>
      </c>
    </row>
    <row r="62" spans="2:12" x14ac:dyDescent="0.3">
      <c r="B62" s="17" t="s">
        <v>76</v>
      </c>
      <c r="C62" s="15" t="s">
        <v>56</v>
      </c>
      <c r="D62" s="15" t="s">
        <v>63</v>
      </c>
      <c r="E62" s="15"/>
      <c r="F62" s="15" t="s">
        <v>64</v>
      </c>
      <c r="G62" s="14">
        <v>603.91999999999996</v>
      </c>
      <c r="H62" s="15">
        <f t="shared" si="7"/>
        <v>90.587999999999994</v>
      </c>
      <c r="I62" s="45">
        <f t="shared" si="8"/>
        <v>694.50799999999992</v>
      </c>
    </row>
    <row r="63" spans="2:12" x14ac:dyDescent="0.3">
      <c r="B63" s="17" t="s">
        <v>77</v>
      </c>
      <c r="C63" s="15" t="s">
        <v>56</v>
      </c>
      <c r="D63" s="15" t="s">
        <v>63</v>
      </c>
      <c r="E63" s="15"/>
      <c r="F63" s="15" t="s">
        <v>66</v>
      </c>
      <c r="G63" s="14">
        <v>526.42999999999995</v>
      </c>
      <c r="H63" s="15">
        <f t="shared" si="7"/>
        <v>78.964499999999987</v>
      </c>
      <c r="I63" s="45">
        <f t="shared" si="8"/>
        <v>605.39449999999988</v>
      </c>
    </row>
    <row r="64" spans="2:12" x14ac:dyDescent="0.3">
      <c r="B64" s="17" t="s">
        <v>78</v>
      </c>
      <c r="C64" s="15" t="s">
        <v>62</v>
      </c>
      <c r="D64" s="15" t="s">
        <v>63</v>
      </c>
      <c r="E64" s="15"/>
      <c r="G64" s="14">
        <v>7818.18</v>
      </c>
      <c r="H64" s="15">
        <f t="shared" si="7"/>
        <v>1172.7270000000001</v>
      </c>
      <c r="I64" s="45">
        <f t="shared" si="8"/>
        <v>8990.9070000000011</v>
      </c>
    </row>
    <row r="65" spans="2:17" x14ac:dyDescent="0.3">
      <c r="B65" s="17" t="s">
        <v>78</v>
      </c>
      <c r="C65" s="15" t="s">
        <v>72</v>
      </c>
      <c r="D65" s="15" t="s">
        <v>63</v>
      </c>
      <c r="E65" s="15"/>
      <c r="G65" s="14">
        <v>1853.9</v>
      </c>
      <c r="H65" s="15">
        <f t="shared" si="7"/>
        <v>278.08499999999998</v>
      </c>
      <c r="I65" s="45">
        <f t="shared" si="8"/>
        <v>2131.9850000000001</v>
      </c>
    </row>
    <row r="66" spans="2:17" x14ac:dyDescent="0.3">
      <c r="B66" s="17" t="s">
        <v>78</v>
      </c>
      <c r="C66" s="15" t="s">
        <v>56</v>
      </c>
      <c r="D66" s="15" t="s">
        <v>63</v>
      </c>
      <c r="E66" s="15"/>
      <c r="G66" s="14">
        <v>216.91</v>
      </c>
      <c r="H66" s="15">
        <f t="shared" si="7"/>
        <v>32.536500000000004</v>
      </c>
      <c r="I66" s="45">
        <f t="shared" si="8"/>
        <v>249.44650000000001</v>
      </c>
    </row>
    <row r="67" spans="2:17" x14ac:dyDescent="0.3">
      <c r="B67" s="25"/>
      <c r="C67" s="26"/>
      <c r="D67" s="26"/>
      <c r="E67" s="26"/>
      <c r="F67" s="23"/>
      <c r="G67" s="27">
        <f>SUM(G54:G66)</f>
        <v>125493.73999999999</v>
      </c>
      <c r="H67" s="27">
        <f t="shared" ref="H67" si="9">SUM(H54:H66)</f>
        <v>2836.3065000000001</v>
      </c>
      <c r="I67" s="27">
        <f>SUM(I54:I66)</f>
        <v>128330.0465</v>
      </c>
    </row>
    <row r="68" spans="2:17" x14ac:dyDescent="0.3">
      <c r="B68" s="15"/>
      <c r="C68" s="15"/>
      <c r="D68" s="15"/>
      <c r="E68" s="15"/>
    </row>
    <row r="69" spans="2:17" x14ac:dyDescent="0.3">
      <c r="B69" s="216" t="s">
        <v>79</v>
      </c>
      <c r="C69" s="217"/>
      <c r="D69" s="217"/>
      <c r="E69" s="217"/>
      <c r="F69" s="217"/>
      <c r="G69" s="217"/>
      <c r="H69" s="217"/>
      <c r="I69" s="218"/>
    </row>
    <row r="70" spans="2:17" x14ac:dyDescent="0.3">
      <c r="B70" s="46" t="s">
        <v>5</v>
      </c>
      <c r="C70" s="47" t="s">
        <v>6</v>
      </c>
      <c r="D70" s="47" t="s">
        <v>7</v>
      </c>
      <c r="E70" s="47" t="s">
        <v>8</v>
      </c>
      <c r="F70" s="48" t="s">
        <v>9</v>
      </c>
      <c r="G70" s="49" t="s">
        <v>10</v>
      </c>
      <c r="H70" s="48" t="s">
        <v>11</v>
      </c>
      <c r="I70" s="50" t="s">
        <v>12</v>
      </c>
    </row>
    <row r="71" spans="2:17" x14ac:dyDescent="0.3">
      <c r="B71" s="11" t="s">
        <v>99</v>
      </c>
      <c r="C71" s="12"/>
      <c r="D71" s="12"/>
      <c r="E71" s="12"/>
      <c r="F71" s="12"/>
      <c r="G71" s="12"/>
      <c r="H71" s="12"/>
      <c r="I71" s="13"/>
    </row>
    <row r="72" spans="2:17" x14ac:dyDescent="0.3">
      <c r="B72" s="17" t="s">
        <v>100</v>
      </c>
      <c r="C72" s="15"/>
      <c r="D72" s="15"/>
      <c r="E72" s="15"/>
      <c r="I72" s="16"/>
    </row>
    <row r="73" spans="2:17" x14ac:dyDescent="0.3">
      <c r="B73" s="17" t="s">
        <v>101</v>
      </c>
      <c r="C73" s="15"/>
      <c r="D73" s="15"/>
      <c r="E73" s="15"/>
      <c r="I73" s="16"/>
    </row>
    <row r="74" spans="2:17" x14ac:dyDescent="0.3">
      <c r="B74" s="17"/>
      <c r="C74" s="15"/>
      <c r="D74" s="15"/>
      <c r="E74" s="15"/>
      <c r="I74" s="16">
        <v>157200</v>
      </c>
    </row>
    <row r="75" spans="2:17" x14ac:dyDescent="0.3">
      <c r="B75" s="17" t="s">
        <v>81</v>
      </c>
      <c r="C75" s="15"/>
      <c r="D75" s="15"/>
      <c r="E75" s="15"/>
      <c r="I75" s="16">
        <v>235000</v>
      </c>
    </row>
    <row r="76" spans="2:17" x14ac:dyDescent="0.3">
      <c r="B76" s="51"/>
      <c r="C76" s="26"/>
      <c r="D76" s="26"/>
      <c r="E76" s="26"/>
      <c r="F76" s="26"/>
      <c r="G76" s="26"/>
      <c r="H76" s="26"/>
      <c r="I76" s="23"/>
      <c r="J76" s="15"/>
    </row>
    <row r="77" spans="2:17" x14ac:dyDescent="0.3">
      <c r="E77"/>
      <c r="F77"/>
      <c r="G77" s="52">
        <f>SUM(G71:G76)</f>
        <v>0</v>
      </c>
      <c r="H77" s="52">
        <f>SUM(H71:H76)</f>
        <v>0</v>
      </c>
      <c r="I77" s="28">
        <v>412000</v>
      </c>
    </row>
    <row r="78" spans="2:17" x14ac:dyDescent="0.3">
      <c r="E78"/>
      <c r="F78"/>
      <c r="G78" s="53"/>
      <c r="H78" s="53"/>
      <c r="I78" s="53"/>
    </row>
    <row r="79" spans="2:17" x14ac:dyDescent="0.3">
      <c r="B79" s="219" t="s">
        <v>82</v>
      </c>
      <c r="C79" s="220"/>
      <c r="D79" s="220"/>
      <c r="E79" s="220"/>
      <c r="F79" s="220"/>
      <c r="G79" s="220"/>
      <c r="H79" s="220"/>
      <c r="I79" s="221"/>
    </row>
    <row r="80" spans="2:17" x14ac:dyDescent="0.3">
      <c r="B80" s="54" t="s">
        <v>5</v>
      </c>
      <c r="C80" s="55" t="s">
        <v>6</v>
      </c>
      <c r="D80" s="55" t="s">
        <v>7</v>
      </c>
      <c r="E80" s="55" t="s">
        <v>8</v>
      </c>
      <c r="F80" s="56" t="s">
        <v>9</v>
      </c>
      <c r="G80" s="57" t="s">
        <v>10</v>
      </c>
      <c r="H80" s="56" t="s">
        <v>11</v>
      </c>
      <c r="I80" s="58" t="s">
        <v>12</v>
      </c>
      <c r="Q80" s="3"/>
    </row>
    <row r="81" spans="2:14" x14ac:dyDescent="0.3">
      <c r="B81" s="11" t="s">
        <v>83</v>
      </c>
      <c r="C81" s="12" t="s">
        <v>84</v>
      </c>
      <c r="D81" s="59" t="s">
        <v>85</v>
      </c>
      <c r="E81" s="12">
        <v>1</v>
      </c>
      <c r="F81" s="12">
        <v>2150</v>
      </c>
      <c r="G81" s="12">
        <v>2150</v>
      </c>
      <c r="H81" s="12">
        <v>322.5</v>
      </c>
      <c r="I81" s="60">
        <v>2472.5</v>
      </c>
    </row>
    <row r="82" spans="2:14" x14ac:dyDescent="0.3">
      <c r="B82" s="17" t="s">
        <v>86</v>
      </c>
      <c r="C82" s="15" t="s">
        <v>84</v>
      </c>
      <c r="D82" s="15" t="s">
        <v>87</v>
      </c>
      <c r="E82" s="15">
        <v>1</v>
      </c>
      <c r="F82" s="15">
        <v>1970</v>
      </c>
      <c r="G82" s="15">
        <v>1970</v>
      </c>
      <c r="H82" s="15">
        <f>G82*1.15</f>
        <v>2265.5</v>
      </c>
      <c r="I82" s="61">
        <f>H82*E82</f>
        <v>2265.5</v>
      </c>
    </row>
    <row r="83" spans="2:14" x14ac:dyDescent="0.3">
      <c r="B83" s="51" t="s">
        <v>88</v>
      </c>
      <c r="C83" s="26" t="s">
        <v>89</v>
      </c>
      <c r="D83" s="62" t="s">
        <v>90</v>
      </c>
      <c r="E83" s="26">
        <v>1</v>
      </c>
      <c r="F83" s="26">
        <v>14827.91</v>
      </c>
      <c r="G83" s="26">
        <f t="shared" ref="G83" si="10">E83*F83</f>
        <v>14827.91</v>
      </c>
      <c r="H83" s="26">
        <f t="shared" ref="H83:H84" si="11">G83*15/100</f>
        <v>2224.1864999999998</v>
      </c>
      <c r="I83" s="63">
        <f>(G83+H83)/12</f>
        <v>1421.0080416666667</v>
      </c>
      <c r="N83" s="64"/>
    </row>
    <row r="84" spans="2:14" x14ac:dyDescent="0.3">
      <c r="C84" s="15"/>
      <c r="D84" s="15"/>
      <c r="E84" s="15"/>
      <c r="G84" s="52">
        <f>SUM(G81:G83)</f>
        <v>18947.91</v>
      </c>
      <c r="H84" s="52">
        <f t="shared" si="11"/>
        <v>2842.1865000000003</v>
      </c>
      <c r="I84" s="28">
        <f>I83+I82+I81</f>
        <v>6159.0080416666669</v>
      </c>
      <c r="K84" s="65"/>
      <c r="L84" s="65"/>
      <c r="M84" s="65"/>
      <c r="N84" s="66"/>
    </row>
    <row r="85" spans="2:14" x14ac:dyDescent="0.3">
      <c r="C85" s="15"/>
      <c r="D85" s="15"/>
      <c r="E85" s="15"/>
      <c r="G85" s="53"/>
      <c r="H85" s="53"/>
      <c r="I85" s="53"/>
    </row>
    <row r="86" spans="2:14" x14ac:dyDescent="0.3">
      <c r="B86" s="231" t="s">
        <v>91</v>
      </c>
      <c r="C86" s="232"/>
      <c r="D86" s="232"/>
      <c r="E86" s="232"/>
      <c r="F86" s="232"/>
      <c r="G86" s="232"/>
      <c r="H86" s="232"/>
      <c r="I86" s="233"/>
    </row>
    <row r="87" spans="2:14" x14ac:dyDescent="0.3">
      <c r="B87" s="67" t="s">
        <v>5</v>
      </c>
      <c r="C87" s="68" t="s">
        <v>6</v>
      </c>
      <c r="D87" s="68" t="s">
        <v>7</v>
      </c>
      <c r="E87" s="68" t="s">
        <v>8</v>
      </c>
      <c r="F87" s="69" t="s">
        <v>9</v>
      </c>
      <c r="G87" s="70" t="s">
        <v>10</v>
      </c>
      <c r="H87" s="69" t="s">
        <v>11</v>
      </c>
      <c r="I87" s="71" t="s">
        <v>12</v>
      </c>
    </row>
    <row r="88" spans="2:14" x14ac:dyDescent="0.3">
      <c r="B88" s="11" t="s">
        <v>92</v>
      </c>
      <c r="C88" s="12"/>
      <c r="D88" s="12"/>
      <c r="E88" s="12"/>
      <c r="F88" s="12"/>
      <c r="G88" s="12">
        <f>I88*0.85</f>
        <v>21250</v>
      </c>
      <c r="H88" s="12">
        <f>I88-G88</f>
        <v>3750</v>
      </c>
      <c r="I88" s="13">
        <v>25000</v>
      </c>
    </row>
    <row r="89" spans="2:14" x14ac:dyDescent="0.3">
      <c r="B89" s="17" t="s">
        <v>93</v>
      </c>
      <c r="C89" s="15"/>
      <c r="D89" s="15"/>
      <c r="E89" s="15"/>
      <c r="G89" s="15">
        <f>I89*0.85</f>
        <v>3230</v>
      </c>
      <c r="H89" s="15">
        <f>I89-G89</f>
        <v>570</v>
      </c>
      <c r="I89" s="16">
        <v>3800</v>
      </c>
    </row>
    <row r="90" spans="2:14" x14ac:dyDescent="0.3">
      <c r="B90" s="17"/>
      <c r="C90" s="15"/>
      <c r="D90" s="15"/>
      <c r="E90" s="15"/>
      <c r="I90" s="16"/>
    </row>
    <row r="91" spans="2:14" x14ac:dyDescent="0.3">
      <c r="B91" s="17"/>
      <c r="C91" s="15"/>
      <c r="D91" s="15"/>
      <c r="E91" s="15"/>
      <c r="I91" s="16"/>
    </row>
    <row r="92" spans="2:14" x14ac:dyDescent="0.3">
      <c r="B92" s="17"/>
      <c r="C92" s="15"/>
      <c r="D92" s="15"/>
      <c r="E92" s="15"/>
      <c r="I92" s="16"/>
    </row>
    <row r="93" spans="2:14" x14ac:dyDescent="0.3">
      <c r="B93" s="51"/>
      <c r="C93" s="26"/>
      <c r="D93" s="26"/>
      <c r="E93" s="26"/>
      <c r="F93" s="26"/>
      <c r="G93" s="26"/>
      <c r="H93" s="26"/>
      <c r="I93" s="23"/>
    </row>
    <row r="94" spans="2:14" x14ac:dyDescent="0.3">
      <c r="C94" s="15"/>
      <c r="D94" s="15"/>
      <c r="E94" s="15"/>
      <c r="G94" s="72">
        <f>G93+G92+G91+G90+G89+G88</f>
        <v>24480</v>
      </c>
      <c r="H94" s="72">
        <f t="shared" ref="H94:I94" si="12">H93+H92+H91+H90+H89+H88</f>
        <v>4320</v>
      </c>
      <c r="I94" s="73">
        <f t="shared" si="12"/>
        <v>28800</v>
      </c>
    </row>
    <row r="95" spans="2:14" x14ac:dyDescent="0.3">
      <c r="C95" s="15"/>
      <c r="D95" s="15"/>
      <c r="E95" s="15"/>
    </row>
    <row r="96" spans="2:14" x14ac:dyDescent="0.3">
      <c r="C96" s="15"/>
      <c r="D96" s="15"/>
      <c r="E96" s="15"/>
      <c r="I96" s="15">
        <v>10000</v>
      </c>
      <c r="J96" t="s">
        <v>95</v>
      </c>
    </row>
    <row r="97" spans="3:10" ht="15.6" x14ac:dyDescent="0.3">
      <c r="C97" s="15"/>
      <c r="D97" s="15"/>
      <c r="E97" s="15"/>
      <c r="I97" s="15">
        <v>100000</v>
      </c>
      <c r="J97" s="74" t="s">
        <v>96</v>
      </c>
    </row>
    <row r="98" spans="3:10" ht="18" x14ac:dyDescent="0.35">
      <c r="D98" s="234" t="s">
        <v>97</v>
      </c>
      <c r="E98" s="234"/>
      <c r="F98" s="234"/>
      <c r="G98" s="75">
        <f>SUM(I94+I84+I77+I67+I50+I42)</f>
        <v>1000486.8695416667</v>
      </c>
      <c r="H98" s="75">
        <f>H94+H84+H77+H42+H67+H50</f>
        <v>64995.633999999962</v>
      </c>
      <c r="I98" s="75">
        <f>I94+I84+I77+I42+I96+I67+I50+I97</f>
        <v>1110486.8695416667</v>
      </c>
      <c r="J98" s="74"/>
    </row>
    <row r="99" spans="3:10" ht="15.6" x14ac:dyDescent="0.3">
      <c r="J99" s="74"/>
    </row>
    <row r="100" spans="3:10" ht="15.6" x14ac:dyDescent="0.3">
      <c r="J100" s="74"/>
    </row>
    <row r="101" spans="3:10" ht="21" x14ac:dyDescent="0.4">
      <c r="G101" s="77"/>
      <c r="H101" s="77"/>
      <c r="I101" s="78"/>
      <c r="J101" s="74"/>
    </row>
    <row r="102" spans="3:10" ht="15.6" x14ac:dyDescent="0.3">
      <c r="G102" s="77"/>
      <c r="H102" s="77"/>
    </row>
    <row r="103" spans="3:10" ht="15.6" x14ac:dyDescent="0.3">
      <c r="G103" s="77"/>
      <c r="H103" s="77"/>
    </row>
    <row r="105" spans="3:10" x14ac:dyDescent="0.3">
      <c r="J105" s="79"/>
    </row>
  </sheetData>
  <mergeCells count="9">
    <mergeCell ref="A1:XFD1"/>
    <mergeCell ref="B86:I86"/>
    <mergeCell ref="D98:F98"/>
    <mergeCell ref="B2:I3"/>
    <mergeCell ref="B4:I4"/>
    <mergeCell ref="B44:I44"/>
    <mergeCell ref="B52:I52"/>
    <mergeCell ref="B69:I69"/>
    <mergeCell ref="B79:I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9"/>
  <sheetViews>
    <sheetView workbookViewId="0"/>
  </sheetViews>
  <sheetFormatPr defaultRowHeight="14.4" x14ac:dyDescent="0.3"/>
  <cols>
    <col min="1" max="1" width="5.88671875" customWidth="1"/>
    <col min="2" max="2" width="20.21875" customWidth="1"/>
    <col min="3" max="3" width="8.5546875" customWidth="1"/>
    <col min="4" max="4" width="28.6640625" style="3" customWidth="1"/>
    <col min="5" max="5" width="3.77734375" customWidth="1"/>
    <col min="6" max="6" width="29.5546875" style="3" customWidth="1"/>
    <col min="7" max="7" width="3.77734375" customWidth="1"/>
    <col min="8" max="8" width="27.44140625" style="3" customWidth="1"/>
    <col min="9" max="9" width="3.77734375" customWidth="1"/>
    <col min="10" max="10" width="25.88671875" style="3" customWidth="1"/>
    <col min="11" max="11" width="3.77734375" customWidth="1"/>
    <col min="12" max="12" width="25.77734375" style="3" customWidth="1"/>
    <col min="13" max="13" width="3.77734375" customWidth="1"/>
    <col min="14" max="14" width="25.88671875" style="3" customWidth="1"/>
    <col min="15" max="15" width="3.77734375" customWidth="1"/>
    <col min="16" max="16" width="25.6640625" style="3" customWidth="1"/>
    <col min="17" max="17" width="3.77734375" customWidth="1"/>
    <col min="18" max="18" width="28.33203125" style="3" customWidth="1"/>
    <col min="19" max="19" width="3.77734375" customWidth="1"/>
    <col min="20" max="20" width="30.6640625" style="3" customWidth="1"/>
    <col min="21" max="21" width="3.77734375" customWidth="1"/>
    <col min="22" max="22" width="29.44140625" style="3" customWidth="1"/>
    <col min="23" max="23" width="3.77734375" customWidth="1"/>
    <col min="24" max="24" width="30.21875" style="3" customWidth="1"/>
    <col min="25" max="25" width="3.77734375" customWidth="1"/>
    <col min="26" max="26" width="30" style="3" customWidth="1"/>
    <col min="27" max="27" width="3.5546875" customWidth="1"/>
    <col min="28" max="28" width="31.109375" customWidth="1"/>
  </cols>
  <sheetData>
    <row r="1" spans="1:28" s="213" customFormat="1" x14ac:dyDescent="0.3">
      <c r="A1" s="213" t="s">
        <v>98</v>
      </c>
    </row>
    <row r="2" spans="1:28" x14ac:dyDescent="0.3">
      <c r="B2" s="236" t="s">
        <v>102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8"/>
      <c r="AA2" s="174"/>
      <c r="AB2" s="174"/>
    </row>
    <row r="3" spans="1:28" ht="15.6" x14ac:dyDescent="0.3">
      <c r="B3" s="150" t="s">
        <v>103</v>
      </c>
      <c r="C3" s="151" t="s">
        <v>9</v>
      </c>
      <c r="D3" s="153" t="s">
        <v>104</v>
      </c>
      <c r="E3" s="160"/>
      <c r="F3" s="153" t="s">
        <v>105</v>
      </c>
      <c r="G3" s="160"/>
      <c r="H3" s="153" t="s">
        <v>106</v>
      </c>
      <c r="I3" s="160"/>
      <c r="J3" s="153" t="s">
        <v>107</v>
      </c>
      <c r="K3" s="160"/>
      <c r="L3" s="153" t="s">
        <v>108</v>
      </c>
      <c r="M3" s="160"/>
      <c r="N3" s="153" t="s">
        <v>109</v>
      </c>
      <c r="O3" s="160"/>
      <c r="P3" s="153" t="s">
        <v>110</v>
      </c>
      <c r="Q3" s="160"/>
      <c r="R3" s="153" t="s">
        <v>176</v>
      </c>
      <c r="S3" s="160"/>
      <c r="T3" s="153" t="s">
        <v>111</v>
      </c>
      <c r="U3" s="160"/>
      <c r="V3" s="153" t="s">
        <v>112</v>
      </c>
      <c r="W3" s="160"/>
      <c r="X3" s="156" t="s">
        <v>113</v>
      </c>
      <c r="Y3" s="160"/>
      <c r="Z3" s="153" t="s">
        <v>114</v>
      </c>
      <c r="AA3" s="163"/>
      <c r="AB3" s="162" t="s">
        <v>115</v>
      </c>
    </row>
    <row r="4" spans="1:28" ht="15.6" x14ac:dyDescent="0.3">
      <c r="B4" s="80" t="s">
        <v>17</v>
      </c>
      <c r="C4" s="81" t="s">
        <v>18</v>
      </c>
      <c r="D4" s="154">
        <f>1897.5</f>
        <v>1897.5</v>
      </c>
      <c r="E4" s="160"/>
      <c r="F4" s="154">
        <f>3349.38+979.8+12988.87+19550+459.2</f>
        <v>37327.25</v>
      </c>
      <c r="G4" s="160"/>
      <c r="H4" s="154">
        <f>3160.1</f>
        <v>3160.1</v>
      </c>
      <c r="I4" s="160"/>
      <c r="J4" s="154">
        <f>451.05</f>
        <v>451.05</v>
      </c>
      <c r="K4" s="160"/>
      <c r="L4" s="154"/>
      <c r="M4" s="160"/>
      <c r="N4" s="154"/>
      <c r="O4" s="160"/>
      <c r="P4" s="154">
        <f>4803.71+2616.56+15500+5261.25</f>
        <v>28181.52</v>
      </c>
      <c r="Q4" s="160"/>
      <c r="R4" s="154">
        <f>2195.47</f>
        <v>2195.4699999999998</v>
      </c>
      <c r="S4" s="160"/>
      <c r="T4" s="154"/>
      <c r="U4" s="160"/>
      <c r="V4" s="154"/>
      <c r="W4" s="160"/>
      <c r="X4" s="157"/>
      <c r="Y4" s="160"/>
      <c r="Z4" s="154"/>
      <c r="AA4" s="163"/>
      <c r="AB4" s="165">
        <f>SUM(D4:Z4)</f>
        <v>73212.89</v>
      </c>
    </row>
    <row r="5" spans="1:28" ht="15.6" x14ac:dyDescent="0.3">
      <c r="B5" s="80" t="s">
        <v>19</v>
      </c>
      <c r="C5" s="81" t="s">
        <v>20</v>
      </c>
      <c r="D5" s="154"/>
      <c r="E5" s="160"/>
      <c r="F5" s="154"/>
      <c r="G5" s="160"/>
      <c r="H5" s="154">
        <f>2862+4512</f>
        <v>7374</v>
      </c>
      <c r="I5" s="160"/>
      <c r="J5" s="154">
        <f>8222.5+4874.4</f>
        <v>13096.9</v>
      </c>
      <c r="K5" s="160"/>
      <c r="L5" s="154">
        <f>2990+1938.9+20248</f>
        <v>25176.9</v>
      </c>
      <c r="M5" s="160"/>
      <c r="N5" s="154">
        <f>24+22+30.02+880</f>
        <v>956.02</v>
      </c>
      <c r="O5" s="160"/>
      <c r="P5" s="154">
        <f>25921+10522.5</f>
        <v>36443.5</v>
      </c>
      <c r="Q5" s="160"/>
      <c r="R5" s="154">
        <f>71787.28+782+862.5+209.76+4850</f>
        <v>78491.539999999994</v>
      </c>
      <c r="S5" s="160"/>
      <c r="T5" s="154"/>
      <c r="U5" s="160"/>
      <c r="V5" s="154"/>
      <c r="W5" s="160"/>
      <c r="X5" s="157"/>
      <c r="Y5" s="160"/>
      <c r="Z5" s="154"/>
      <c r="AA5" s="163"/>
      <c r="AB5" s="165">
        <f t="shared" ref="AB5:AB46" si="0">SUM(D5:Z5)</f>
        <v>161538.85999999999</v>
      </c>
    </row>
    <row r="6" spans="1:28" ht="15.6" x14ac:dyDescent="0.3">
      <c r="B6" s="80" t="s">
        <v>17</v>
      </c>
      <c r="C6" s="81" t="s">
        <v>21</v>
      </c>
      <c r="D6" s="154">
        <f>943.84+2587.5+5635+120+490</f>
        <v>9776.34</v>
      </c>
      <c r="E6" s="160"/>
      <c r="F6" s="154">
        <f>979.8+70+606</f>
        <v>1655.8</v>
      </c>
      <c r="G6" s="160"/>
      <c r="H6" s="154"/>
      <c r="I6" s="160"/>
      <c r="J6" s="154">
        <f>451.05+179.93+136.88</f>
        <v>767.86</v>
      </c>
      <c r="K6" s="160"/>
      <c r="L6" s="154">
        <f>6382.5+2930.62</f>
        <v>9313.119999999999</v>
      </c>
      <c r="M6" s="160"/>
      <c r="N6" s="154">
        <f>1725+15369.75+4288.34</f>
        <v>21383.09</v>
      </c>
      <c r="O6" s="160"/>
      <c r="P6" s="154">
        <f>21283.05+11741.5</f>
        <v>33024.550000000003</v>
      </c>
      <c r="Q6" s="160"/>
      <c r="R6" s="154">
        <f>1730.14+2990</f>
        <v>4720.1400000000003</v>
      </c>
      <c r="S6" s="160"/>
      <c r="T6" s="154"/>
      <c r="U6" s="160"/>
      <c r="V6" s="154"/>
      <c r="W6" s="160"/>
      <c r="X6" s="157"/>
      <c r="Y6" s="160"/>
      <c r="Z6" s="154"/>
      <c r="AA6" s="163"/>
      <c r="AB6" s="165">
        <f t="shared" si="0"/>
        <v>80640.900000000009</v>
      </c>
    </row>
    <row r="7" spans="1:28" ht="15.6" x14ac:dyDescent="0.3">
      <c r="B7" s="80" t="s">
        <v>22</v>
      </c>
      <c r="C7" s="81" t="s">
        <v>23</v>
      </c>
      <c r="D7" s="154">
        <f>438.41+304.12+252.05+342.26+136.88</f>
        <v>1473.7199999999998</v>
      </c>
      <c r="E7" s="160"/>
      <c r="F7" s="154">
        <f>979.8+11810.5</f>
        <v>12790.3</v>
      </c>
      <c r="G7" s="160"/>
      <c r="H7" s="154">
        <f>9078.78+2990+1455+2398.47</f>
        <v>15922.25</v>
      </c>
      <c r="I7" s="160"/>
      <c r="J7" s="154"/>
      <c r="K7" s="160"/>
      <c r="L7" s="154">
        <f>5049.1+850+438.41+304.12+252.05+136.88</f>
        <v>7030.56</v>
      </c>
      <c r="M7" s="160"/>
      <c r="N7" s="154">
        <f>3800</f>
        <v>3800</v>
      </c>
      <c r="O7" s="160"/>
      <c r="P7" s="154"/>
      <c r="Q7" s="160"/>
      <c r="R7" s="154">
        <f>2109.95</f>
        <v>2109.9499999999998</v>
      </c>
      <c r="S7" s="160"/>
      <c r="T7" s="154"/>
      <c r="U7" s="160"/>
      <c r="V7" s="154"/>
      <c r="W7" s="160"/>
      <c r="X7" s="157"/>
      <c r="Y7" s="160"/>
      <c r="Z7" s="154"/>
      <c r="AA7" s="163"/>
      <c r="AB7" s="165">
        <f t="shared" si="0"/>
        <v>43126.779999999992</v>
      </c>
    </row>
    <row r="8" spans="1:28" ht="15.6" x14ac:dyDescent="0.3">
      <c r="A8" t="s">
        <v>98</v>
      </c>
      <c r="B8" s="80" t="s">
        <v>15</v>
      </c>
      <c r="C8" s="81" t="s">
        <v>16</v>
      </c>
      <c r="D8" s="154">
        <f>3059.61+312</f>
        <v>3371.61</v>
      </c>
      <c r="E8" s="160"/>
      <c r="F8" s="154">
        <f>979.8+459.2</f>
        <v>1439</v>
      </c>
      <c r="G8" s="160"/>
      <c r="H8" s="154">
        <f>2422.94</f>
        <v>2422.94</v>
      </c>
      <c r="I8" s="160"/>
      <c r="J8" s="154">
        <f>4887.85</f>
        <v>4887.8500000000004</v>
      </c>
      <c r="K8" s="160"/>
      <c r="L8" s="154">
        <f>248</f>
        <v>248</v>
      </c>
      <c r="M8" s="160"/>
      <c r="N8" s="154">
        <f>1052.92</f>
        <v>1052.92</v>
      </c>
      <c r="O8" s="160"/>
      <c r="P8" s="154">
        <f>2740.96+2259.39</f>
        <v>5000.3500000000004</v>
      </c>
      <c r="Q8" s="160"/>
      <c r="R8" s="154"/>
      <c r="S8" s="160"/>
      <c r="T8" s="154"/>
      <c r="U8" s="160"/>
      <c r="V8" s="154"/>
      <c r="W8" s="160"/>
      <c r="X8" s="157"/>
      <c r="Y8" s="160"/>
      <c r="Z8" s="154"/>
      <c r="AA8" s="163"/>
      <c r="AB8" s="165">
        <f t="shared" si="0"/>
        <v>18422.670000000002</v>
      </c>
    </row>
    <row r="9" spans="1:28" ht="15.6" x14ac:dyDescent="0.3">
      <c r="B9" s="84" t="s">
        <v>15</v>
      </c>
      <c r="C9" s="81" t="s">
        <v>64</v>
      </c>
      <c r="D9" s="154">
        <f>3315</f>
        <v>3315</v>
      </c>
      <c r="E9" s="160"/>
      <c r="F9" s="154">
        <f>2215+862.5+979.8+3317.03</f>
        <v>7374.33</v>
      </c>
      <c r="G9" s="160"/>
      <c r="H9" s="154"/>
      <c r="I9" s="160"/>
      <c r="J9" s="154">
        <f>1623.34+1339.75+905.72+661.12+346</f>
        <v>4875.93</v>
      </c>
      <c r="K9" s="160"/>
      <c r="L9" s="154">
        <f>7877.5</f>
        <v>7877.5</v>
      </c>
      <c r="M9" s="160"/>
      <c r="N9" s="154"/>
      <c r="O9" s="160"/>
      <c r="P9" s="154">
        <f>2740.96+2259.39+10522.5</f>
        <v>15522.85</v>
      </c>
      <c r="Q9" s="160"/>
      <c r="R9" s="154"/>
      <c r="S9" s="160"/>
      <c r="T9" s="154"/>
      <c r="U9" s="160"/>
      <c r="V9" s="154"/>
      <c r="W9" s="160"/>
      <c r="X9" s="157"/>
      <c r="Y9" s="160"/>
      <c r="Z9" s="154"/>
      <c r="AA9" s="163"/>
      <c r="AB9" s="165">
        <f t="shared" si="0"/>
        <v>38965.61</v>
      </c>
    </row>
    <row r="10" spans="1:28" ht="15.6" x14ac:dyDescent="0.3">
      <c r="B10" s="84" t="s">
        <v>15</v>
      </c>
      <c r="C10" s="81" t="s">
        <v>66</v>
      </c>
      <c r="D10" s="154">
        <f>2506.89+3571.55</f>
        <v>6078.4400000000005</v>
      </c>
      <c r="E10" s="160"/>
      <c r="F10" s="154">
        <f>2610.6+862.5+979.8+1440.72+19550+345</f>
        <v>25788.62</v>
      </c>
      <c r="G10" s="160"/>
      <c r="H10" s="154">
        <f>2580.19</f>
        <v>2580.19</v>
      </c>
      <c r="I10" s="160"/>
      <c r="J10" s="154">
        <f>346</f>
        <v>346</v>
      </c>
      <c r="K10" s="160"/>
      <c r="L10" s="154">
        <f>2383.56</f>
        <v>2383.56</v>
      </c>
      <c r="M10" s="160"/>
      <c r="N10" s="154"/>
      <c r="O10" s="160"/>
      <c r="P10" s="154">
        <f>2740.96+2259.39</f>
        <v>5000.3500000000004</v>
      </c>
      <c r="Q10" s="160"/>
      <c r="R10" s="154">
        <f>782+862.5</f>
        <v>1644.5</v>
      </c>
      <c r="S10" s="160"/>
      <c r="T10" s="154"/>
      <c r="U10" s="160"/>
      <c r="V10" s="154"/>
      <c r="W10" s="160"/>
      <c r="X10" s="157"/>
      <c r="Y10" s="160"/>
      <c r="Z10" s="154"/>
      <c r="AA10" s="163"/>
      <c r="AB10" s="165">
        <f t="shared" si="0"/>
        <v>43821.659999999996</v>
      </c>
    </row>
    <row r="11" spans="1:28" ht="15.6" x14ac:dyDescent="0.3">
      <c r="B11" s="80" t="s">
        <v>24</v>
      </c>
      <c r="C11" s="81" t="s">
        <v>25</v>
      </c>
      <c r="D11" s="154">
        <f>220.375+380.385+467.855+310.2</f>
        <v>1378.8150000000001</v>
      </c>
      <c r="E11" s="160"/>
      <c r="F11" s="154">
        <f>2794.5</f>
        <v>2794.5</v>
      </c>
      <c r="G11" s="160"/>
      <c r="H11" s="154">
        <v>3226.15</v>
      </c>
      <c r="I11" s="160"/>
      <c r="J11" s="154"/>
      <c r="K11" s="160"/>
      <c r="L11" s="154">
        <f>1417.57</f>
        <v>1417.57</v>
      </c>
      <c r="M11" s="160"/>
      <c r="N11" s="154"/>
      <c r="O11" s="160"/>
      <c r="P11" s="154"/>
      <c r="Q11" s="160"/>
      <c r="R11" s="154">
        <f>1482.35</f>
        <v>1482.35</v>
      </c>
      <c r="S11" s="160"/>
      <c r="T11" s="154"/>
      <c r="U11" s="160"/>
      <c r="V11" s="154"/>
      <c r="W11" s="160"/>
      <c r="X11" s="157"/>
      <c r="Y11" s="160"/>
      <c r="Z11" s="154"/>
      <c r="AA11" s="163"/>
      <c r="AB11" s="165">
        <f t="shared" si="0"/>
        <v>10299.385</v>
      </c>
    </row>
    <row r="12" spans="1:28" ht="15.6" x14ac:dyDescent="0.3">
      <c r="B12" s="80" t="s">
        <v>24</v>
      </c>
      <c r="C12" s="81" t="s">
        <v>26</v>
      </c>
      <c r="D12" s="154">
        <f>220.375+380.385+467.855+310.2+7953.4</f>
        <v>9332.2150000000001</v>
      </c>
      <c r="E12" s="160"/>
      <c r="F12" s="154">
        <v>2794.5</v>
      </c>
      <c r="G12" s="160"/>
      <c r="H12" s="154"/>
      <c r="I12" s="160"/>
      <c r="J12" s="154"/>
      <c r="K12" s="160"/>
      <c r="L12" s="154">
        <f>1417.57</f>
        <v>1417.57</v>
      </c>
      <c r="M12" s="160"/>
      <c r="N12" s="154"/>
      <c r="O12" s="160"/>
      <c r="P12" s="154">
        <f>3225</f>
        <v>3225</v>
      </c>
      <c r="Q12" s="160"/>
      <c r="R12" s="154">
        <f>6118</f>
        <v>6118</v>
      </c>
      <c r="S12" s="160"/>
      <c r="T12" s="154"/>
      <c r="U12" s="160"/>
      <c r="V12" s="154"/>
      <c r="W12" s="160"/>
      <c r="X12" s="157"/>
      <c r="Y12" s="160"/>
      <c r="Z12" s="154"/>
      <c r="AA12" s="163"/>
      <c r="AB12" s="165">
        <f t="shared" si="0"/>
        <v>22887.285</v>
      </c>
    </row>
    <row r="13" spans="1:28" ht="15.6" x14ac:dyDescent="0.3">
      <c r="B13" s="80" t="s">
        <v>40</v>
      </c>
      <c r="C13" s="81" t="s">
        <v>41</v>
      </c>
      <c r="D13" s="154">
        <f>2657.58</f>
        <v>2657.58</v>
      </c>
      <c r="E13" s="160"/>
      <c r="F13" s="154">
        <f>460</f>
        <v>460</v>
      </c>
      <c r="G13" s="160"/>
      <c r="H13" s="154"/>
      <c r="I13" s="160"/>
      <c r="J13" s="154">
        <f>40+850</f>
        <v>890</v>
      </c>
      <c r="K13" s="160"/>
      <c r="L13" s="154">
        <f>650+2100+1495</f>
        <v>4245</v>
      </c>
      <c r="M13" s="160"/>
      <c r="N13" s="154">
        <f>7509.5+24.15+238.82</f>
        <v>7772.4699999999993</v>
      </c>
      <c r="O13" s="160"/>
      <c r="P13" s="154"/>
      <c r="Q13" s="160"/>
      <c r="R13" s="154">
        <f>2300+1909.71</f>
        <v>4209.71</v>
      </c>
      <c r="S13" s="160"/>
      <c r="T13" s="154"/>
      <c r="U13" s="160"/>
      <c r="V13" s="154"/>
      <c r="W13" s="160"/>
      <c r="X13" s="157"/>
      <c r="Y13" s="160"/>
      <c r="Z13" s="154"/>
      <c r="AA13" s="163"/>
      <c r="AB13" s="165">
        <f t="shared" si="0"/>
        <v>20234.759999999998</v>
      </c>
    </row>
    <row r="14" spans="1:28" ht="15.6" x14ac:dyDescent="0.3">
      <c r="B14" s="80" t="s">
        <v>38</v>
      </c>
      <c r="C14" s="81" t="s">
        <v>39</v>
      </c>
      <c r="D14" s="154"/>
      <c r="E14" s="160"/>
      <c r="F14" s="154"/>
      <c r="G14" s="160"/>
      <c r="H14" s="154">
        <f>110</f>
        <v>110</v>
      </c>
      <c r="I14" s="160"/>
      <c r="J14" s="154"/>
      <c r="K14" s="160"/>
      <c r="L14" s="154">
        <f>962.63</f>
        <v>962.63</v>
      </c>
      <c r="M14" s="160"/>
      <c r="N14" s="154"/>
      <c r="O14" s="160"/>
      <c r="P14" s="154">
        <f>790.57+511.51+1630.61+286.32</f>
        <v>3219.0099999999998</v>
      </c>
      <c r="Q14" s="160"/>
      <c r="R14" s="154"/>
      <c r="S14" s="160"/>
      <c r="T14" s="154"/>
      <c r="U14" s="160"/>
      <c r="V14" s="154"/>
      <c r="W14" s="160"/>
      <c r="X14" s="157"/>
      <c r="Y14" s="160"/>
      <c r="Z14" s="154"/>
      <c r="AA14" s="163"/>
      <c r="AB14" s="165">
        <f t="shared" si="0"/>
        <v>4291.6399999999994</v>
      </c>
    </row>
    <row r="15" spans="1:28" ht="15.6" x14ac:dyDescent="0.3">
      <c r="B15" s="84" t="s">
        <v>116</v>
      </c>
      <c r="C15" s="81" t="s">
        <v>70</v>
      </c>
      <c r="D15" s="154">
        <f>2279.85</f>
        <v>2279.85</v>
      </c>
      <c r="E15" s="160"/>
      <c r="F15" s="154">
        <f>3890</f>
        <v>3890</v>
      </c>
      <c r="G15" s="160"/>
      <c r="H15" s="154">
        <f>3590+2490</f>
        <v>6080</v>
      </c>
      <c r="I15" s="160"/>
      <c r="J15" s="154">
        <f>3280+2862+1978+5310+1972.81+149.5+2060.26+69.99</f>
        <v>17682.560000000001</v>
      </c>
      <c r="K15" s="160"/>
      <c r="L15" s="154">
        <f>734.27</f>
        <v>734.27</v>
      </c>
      <c r="M15" s="160"/>
      <c r="N15" s="154">
        <f>79.9</f>
        <v>79.900000000000006</v>
      </c>
      <c r="O15" s="160"/>
      <c r="P15" s="154">
        <f>322.44+440.75+820.49+4656</f>
        <v>6239.68</v>
      </c>
      <c r="Q15" s="160"/>
      <c r="R15" s="154">
        <f>782+176.64</f>
        <v>958.64</v>
      </c>
      <c r="S15" s="160"/>
      <c r="T15" s="154"/>
      <c r="U15" s="160"/>
      <c r="V15" s="154"/>
      <c r="W15" s="160"/>
      <c r="X15" s="157"/>
      <c r="Y15" s="160"/>
      <c r="Z15" s="154"/>
      <c r="AA15" s="163"/>
      <c r="AB15" s="165">
        <f t="shared" si="0"/>
        <v>37944.900000000009</v>
      </c>
    </row>
    <row r="16" spans="1:28" ht="15.6" x14ac:dyDescent="0.3">
      <c r="B16" s="80" t="s">
        <v>34</v>
      </c>
      <c r="C16" s="81" t="s">
        <v>35</v>
      </c>
      <c r="D16" s="154">
        <f>763.24+563.35+382.94+1001.96+672.58+385.77+2237.1+2335.65+12789.15+1488.79</f>
        <v>22620.53</v>
      </c>
      <c r="E16" s="160"/>
      <c r="F16" s="154">
        <f>322</f>
        <v>322</v>
      </c>
      <c r="G16" s="160"/>
      <c r="H16" s="154">
        <f>1913</f>
        <v>1913</v>
      </c>
      <c r="I16" s="160"/>
      <c r="J16" s="154">
        <f>2277</f>
        <v>2277</v>
      </c>
      <c r="K16" s="160"/>
      <c r="L16" s="154">
        <f>3940.735</f>
        <v>3940.7350000000001</v>
      </c>
      <c r="M16" s="160"/>
      <c r="N16" s="154">
        <f>3871.48+22787.25+2603.6</f>
        <v>29262.329999999998</v>
      </c>
      <c r="O16" s="160"/>
      <c r="P16" s="154">
        <f>2286.43+2210.76</f>
        <v>4497.1900000000005</v>
      </c>
      <c r="Q16" s="160"/>
      <c r="R16" s="154">
        <f>2868.22+1029.25+4125.935+782+862.5</f>
        <v>9667.9050000000007</v>
      </c>
      <c r="S16" s="160"/>
      <c r="T16" s="154"/>
      <c r="U16" s="160"/>
      <c r="V16" s="154"/>
      <c r="W16" s="160"/>
      <c r="X16" s="157"/>
      <c r="Y16" s="160"/>
      <c r="Z16" s="154"/>
      <c r="AA16" s="163"/>
      <c r="AB16" s="165">
        <f t="shared" si="0"/>
        <v>74500.69</v>
      </c>
    </row>
    <row r="17" spans="2:28" ht="15.6" x14ac:dyDescent="0.3">
      <c r="B17" s="80" t="s">
        <v>34</v>
      </c>
      <c r="C17" s="81" t="s">
        <v>68</v>
      </c>
      <c r="D17" s="154"/>
      <c r="E17" s="160"/>
      <c r="F17" s="154">
        <f>322+4020.4</f>
        <v>4342.3999999999996</v>
      </c>
      <c r="G17" s="160"/>
      <c r="H17" s="154">
        <f>939.95+4020</f>
        <v>4959.95</v>
      </c>
      <c r="I17" s="160"/>
      <c r="J17" s="154">
        <f>2277</f>
        <v>2277</v>
      </c>
      <c r="K17" s="160"/>
      <c r="L17" s="154">
        <f>2434.55+3940.735</f>
        <v>6375.2849999999999</v>
      </c>
      <c r="M17" s="160"/>
      <c r="N17" s="154">
        <f>22787.25</f>
        <v>22787.25</v>
      </c>
      <c r="O17" s="160"/>
      <c r="P17" s="154">
        <f>2292.18+2699.51</f>
        <v>4991.6900000000005</v>
      </c>
      <c r="Q17" s="160"/>
      <c r="R17" s="154">
        <f>2990+4125.935+782+176.64</f>
        <v>8074.5750000000007</v>
      </c>
      <c r="S17" s="160"/>
      <c r="T17" s="154"/>
      <c r="U17" s="160"/>
      <c r="V17" s="154"/>
      <c r="W17" s="160"/>
      <c r="X17" s="157"/>
      <c r="Y17" s="160"/>
      <c r="Z17" s="154"/>
      <c r="AA17" s="163"/>
      <c r="AB17" s="165">
        <f t="shared" si="0"/>
        <v>53808.149999999994</v>
      </c>
    </row>
    <row r="18" spans="2:28" ht="15.6" x14ac:dyDescent="0.3">
      <c r="B18" s="80" t="s">
        <v>32</v>
      </c>
      <c r="C18" s="81" t="s">
        <v>33</v>
      </c>
      <c r="D18" s="154"/>
      <c r="E18" s="160"/>
      <c r="F18" s="154"/>
      <c r="G18" s="160"/>
      <c r="H18" s="154">
        <f>4442.16+200+2190+5434.33+7237.47</f>
        <v>19503.96</v>
      </c>
      <c r="I18" s="160"/>
      <c r="J18" s="154">
        <f>400+457</f>
        <v>857</v>
      </c>
      <c r="K18" s="160"/>
      <c r="L18" s="154">
        <f>2451.8+2070+16370.25+2127.5</f>
        <v>23019.55</v>
      </c>
      <c r="M18" s="160"/>
      <c r="N18" s="154">
        <f>19078.5</f>
        <v>19078.5</v>
      </c>
      <c r="O18" s="160"/>
      <c r="P18" s="154"/>
      <c r="Q18" s="160"/>
      <c r="R18" s="154"/>
      <c r="S18" s="160"/>
      <c r="T18" s="154"/>
      <c r="U18" s="160"/>
      <c r="V18" s="154"/>
      <c r="W18" s="160"/>
      <c r="X18" s="157"/>
      <c r="Y18" s="160"/>
      <c r="Z18" s="154"/>
      <c r="AA18" s="163"/>
      <c r="AB18" s="165">
        <f t="shared" si="0"/>
        <v>62459.009999999995</v>
      </c>
    </row>
    <row r="19" spans="2:28" ht="15.6" x14ac:dyDescent="0.3">
      <c r="B19" s="80" t="s">
        <v>117</v>
      </c>
      <c r="C19" s="81" t="s">
        <v>28</v>
      </c>
      <c r="D19" s="154"/>
      <c r="E19" s="160"/>
      <c r="F19" s="154"/>
      <c r="G19" s="160"/>
      <c r="H19" s="154">
        <f>2502.2</f>
        <v>2502.1999999999998</v>
      </c>
      <c r="I19" s="160"/>
      <c r="J19" s="154">
        <f>2639.25+339.2+1322.5</f>
        <v>4300.95</v>
      </c>
      <c r="K19" s="160"/>
      <c r="L19" s="154">
        <f>84.2+265</f>
        <v>349.2</v>
      </c>
      <c r="M19" s="160"/>
      <c r="N19" s="154"/>
      <c r="O19" s="160"/>
      <c r="P19" s="154">
        <f>275+37722.25+300</f>
        <v>38297.25</v>
      </c>
      <c r="Q19" s="160"/>
      <c r="R19" s="154">
        <f>5500+10500</f>
        <v>16000</v>
      </c>
      <c r="S19" s="160"/>
      <c r="T19" s="154"/>
      <c r="U19" s="160"/>
      <c r="V19" s="154"/>
      <c r="W19" s="160"/>
      <c r="X19" s="157"/>
      <c r="Y19" s="160"/>
      <c r="Z19" s="154"/>
      <c r="AA19" s="163"/>
      <c r="AB19" s="165">
        <f t="shared" si="0"/>
        <v>61449.599999999999</v>
      </c>
    </row>
    <row r="20" spans="2:28" ht="15.6" x14ac:dyDescent="0.3">
      <c r="B20" s="80" t="s">
        <v>117</v>
      </c>
      <c r="C20" s="81" t="s">
        <v>29</v>
      </c>
      <c r="D20" s="154">
        <f>1322.5+312</f>
        <v>1634.5</v>
      </c>
      <c r="E20" s="160"/>
      <c r="F20" s="154"/>
      <c r="G20" s="160"/>
      <c r="H20" s="154">
        <v>2502.1999999999998</v>
      </c>
      <c r="I20" s="160"/>
      <c r="J20" s="154"/>
      <c r="K20" s="160"/>
      <c r="L20" s="154"/>
      <c r="M20" s="160"/>
      <c r="N20" s="154"/>
      <c r="O20" s="160"/>
      <c r="P20" s="154">
        <f>2070</f>
        <v>2070</v>
      </c>
      <c r="Q20" s="160"/>
      <c r="R20" s="154">
        <f>5108.76</f>
        <v>5108.76</v>
      </c>
      <c r="S20" s="160"/>
      <c r="T20" s="154"/>
      <c r="U20" s="160"/>
      <c r="V20" s="154"/>
      <c r="W20" s="160"/>
      <c r="X20" s="157"/>
      <c r="Y20" s="160"/>
      <c r="Z20" s="154"/>
      <c r="AA20" s="163"/>
      <c r="AB20" s="165">
        <f t="shared" si="0"/>
        <v>11315.46</v>
      </c>
    </row>
    <row r="21" spans="2:28" ht="15.6" x14ac:dyDescent="0.3">
      <c r="B21" s="80" t="s">
        <v>30</v>
      </c>
      <c r="C21" s="81" t="s">
        <v>31</v>
      </c>
      <c r="D21" s="154"/>
      <c r="E21" s="160"/>
      <c r="F21" s="154">
        <f>2330.3</f>
        <v>2330.3000000000002</v>
      </c>
      <c r="G21" s="160"/>
      <c r="H21" s="154"/>
      <c r="I21" s="160"/>
      <c r="J21" s="154">
        <f>1586</f>
        <v>1586</v>
      </c>
      <c r="K21" s="160"/>
      <c r="L21" s="154">
        <f>1657.4+735.435</f>
        <v>2392.835</v>
      </c>
      <c r="M21" s="160"/>
      <c r="N21" s="154">
        <f>429</f>
        <v>429</v>
      </c>
      <c r="O21" s="160"/>
      <c r="P21" s="154"/>
      <c r="Q21" s="160"/>
      <c r="R21" s="154"/>
      <c r="S21" s="160"/>
      <c r="T21" s="154"/>
      <c r="U21" s="160"/>
      <c r="V21" s="154"/>
      <c r="W21" s="160"/>
      <c r="X21" s="157"/>
      <c r="Y21" s="160"/>
      <c r="Z21" s="154"/>
      <c r="AA21" s="163"/>
      <c r="AB21" s="165">
        <f t="shared" si="0"/>
        <v>6738.1350000000002</v>
      </c>
    </row>
    <row r="22" spans="2:28" ht="15.6" x14ac:dyDescent="0.3">
      <c r="B22" s="84" t="s">
        <v>30</v>
      </c>
      <c r="C22" s="81" t="s">
        <v>60</v>
      </c>
      <c r="D22" s="154"/>
      <c r="E22" s="160"/>
      <c r="F22" s="154">
        <f>88147.86</f>
        <v>88147.86</v>
      </c>
      <c r="G22" s="160"/>
      <c r="H22" s="154">
        <f>2472.55</f>
        <v>2472.5500000000002</v>
      </c>
      <c r="I22" s="160"/>
      <c r="J22" s="154">
        <f>1586+390+325+84+3854</f>
        <v>6239</v>
      </c>
      <c r="K22" s="160"/>
      <c r="L22" s="154">
        <f>2133.2+735.435</f>
        <v>2868.6349999999998</v>
      </c>
      <c r="M22" s="160"/>
      <c r="N22" s="154">
        <f>1023.5+576.71+533.4+318.6+2002+863.71+2971.12+6624+3875.5+9334.09+32184</f>
        <v>60306.630000000005</v>
      </c>
      <c r="O22" s="160"/>
      <c r="P22" s="154"/>
      <c r="Q22" s="160"/>
      <c r="R22" s="154">
        <f>4186.58</f>
        <v>4186.58</v>
      </c>
      <c r="S22" s="160"/>
      <c r="T22" s="154"/>
      <c r="U22" s="160"/>
      <c r="V22" s="154"/>
      <c r="W22" s="160"/>
      <c r="X22" s="157"/>
      <c r="Y22" s="160"/>
      <c r="Z22" s="154"/>
      <c r="AA22" s="163"/>
      <c r="AB22" s="165">
        <f t="shared" si="0"/>
        <v>164221.25499999998</v>
      </c>
    </row>
    <row r="23" spans="2:28" ht="15.6" x14ac:dyDescent="0.3">
      <c r="B23" s="84" t="s">
        <v>118</v>
      </c>
      <c r="C23" s="81" t="s">
        <v>58</v>
      </c>
      <c r="D23" s="154">
        <f>2606.82</f>
        <v>2606.8200000000002</v>
      </c>
      <c r="E23" s="160"/>
      <c r="F23" s="154"/>
      <c r="G23" s="160"/>
      <c r="H23" s="154"/>
      <c r="I23" s="160"/>
      <c r="J23" s="154">
        <f>6402.19+4845.92+37.2+3113.9</f>
        <v>14399.210000000001</v>
      </c>
      <c r="K23" s="160"/>
      <c r="L23" s="154">
        <f>6402.19</f>
        <v>6402.19</v>
      </c>
      <c r="M23" s="160"/>
      <c r="N23" s="154">
        <f>34923.04+1823.5+10334</f>
        <v>47080.54</v>
      </c>
      <c r="O23" s="160"/>
      <c r="P23" s="154">
        <f>799.25</f>
        <v>799.25</v>
      </c>
      <c r="Q23" s="160"/>
      <c r="R23" s="154">
        <f>6402.19</f>
        <v>6402.19</v>
      </c>
      <c r="S23" s="160"/>
      <c r="T23" s="154"/>
      <c r="U23" s="160"/>
      <c r="V23" s="154"/>
      <c r="W23" s="160"/>
      <c r="X23" s="157"/>
      <c r="Y23" s="160"/>
      <c r="Z23" s="154"/>
      <c r="AA23" s="163"/>
      <c r="AB23" s="165">
        <f t="shared" si="0"/>
        <v>77690.200000000012</v>
      </c>
    </row>
    <row r="24" spans="2:28" ht="15.6" x14ac:dyDescent="0.3">
      <c r="B24" s="80" t="s">
        <v>36</v>
      </c>
      <c r="C24" s="81" t="s">
        <v>37</v>
      </c>
      <c r="D24" s="154"/>
      <c r="E24" s="160"/>
      <c r="F24" s="154"/>
      <c r="G24" s="160"/>
      <c r="H24" s="154"/>
      <c r="I24" s="160"/>
      <c r="J24" s="154"/>
      <c r="K24" s="160"/>
      <c r="L24" s="154"/>
      <c r="M24" s="160"/>
      <c r="N24" s="154"/>
      <c r="O24" s="160"/>
      <c r="P24" s="154"/>
      <c r="Q24" s="160"/>
      <c r="R24" s="154"/>
      <c r="S24" s="160"/>
      <c r="T24" s="154"/>
      <c r="U24" s="160"/>
      <c r="V24" s="154"/>
      <c r="W24" s="160"/>
      <c r="X24" s="157"/>
      <c r="Y24" s="160"/>
      <c r="Z24" s="154"/>
      <c r="AA24" s="163"/>
      <c r="AB24" s="165">
        <f t="shared" si="0"/>
        <v>0</v>
      </c>
    </row>
    <row r="25" spans="2:28" ht="15.6" x14ac:dyDescent="0.3">
      <c r="B25" s="80" t="s">
        <v>42</v>
      </c>
      <c r="C25" s="81"/>
      <c r="D25" s="154"/>
      <c r="E25" s="160"/>
      <c r="F25" s="154"/>
      <c r="G25" s="160"/>
      <c r="H25" s="154"/>
      <c r="I25" s="160"/>
      <c r="J25" s="154"/>
      <c r="K25" s="160"/>
      <c r="L25" s="154"/>
      <c r="M25" s="160"/>
      <c r="N25" s="154"/>
      <c r="O25" s="160"/>
      <c r="P25" s="154"/>
      <c r="Q25" s="160"/>
      <c r="R25" s="154"/>
      <c r="S25" s="160"/>
      <c r="T25" s="154"/>
      <c r="U25" s="160"/>
      <c r="V25" s="154"/>
      <c r="W25" s="160"/>
      <c r="X25" s="157"/>
      <c r="Y25" s="160"/>
      <c r="Z25" s="154"/>
      <c r="AA25" s="163"/>
      <c r="AB25" s="165">
        <f t="shared" si="0"/>
        <v>0</v>
      </c>
    </row>
    <row r="26" spans="2:28" ht="15.6" x14ac:dyDescent="0.3">
      <c r="B26" s="80" t="s">
        <v>44</v>
      </c>
      <c r="C26" s="81"/>
      <c r="D26" s="154"/>
      <c r="E26" s="160"/>
      <c r="F26" s="154"/>
      <c r="G26" s="160"/>
      <c r="H26" s="154"/>
      <c r="I26" s="160"/>
      <c r="J26" s="154"/>
      <c r="K26" s="160"/>
      <c r="L26" s="154"/>
      <c r="M26" s="160"/>
      <c r="N26" s="154"/>
      <c r="O26" s="160"/>
      <c r="P26" s="154"/>
      <c r="Q26" s="160"/>
      <c r="R26" s="154"/>
      <c r="S26" s="160"/>
      <c r="T26" s="154"/>
      <c r="U26" s="160"/>
      <c r="V26" s="154"/>
      <c r="W26" s="160"/>
      <c r="X26" s="157"/>
      <c r="Y26" s="160"/>
      <c r="Z26" s="154"/>
      <c r="AA26" s="163"/>
      <c r="AB26" s="165">
        <f t="shared" si="0"/>
        <v>0</v>
      </c>
    </row>
    <row r="27" spans="2:28" ht="15.6" x14ac:dyDescent="0.3">
      <c r="B27" s="80" t="s">
        <v>45</v>
      </c>
      <c r="C27" s="81"/>
      <c r="D27" s="154"/>
      <c r="E27" s="160"/>
      <c r="F27" s="154"/>
      <c r="G27" s="160"/>
      <c r="H27" s="154"/>
      <c r="I27" s="160"/>
      <c r="J27" s="154"/>
      <c r="K27" s="160"/>
      <c r="L27" s="154"/>
      <c r="M27" s="160"/>
      <c r="N27" s="154"/>
      <c r="O27" s="160"/>
      <c r="P27" s="154"/>
      <c r="Q27" s="160"/>
      <c r="R27" s="154"/>
      <c r="S27" s="160"/>
      <c r="T27" s="154"/>
      <c r="U27" s="160"/>
      <c r="V27" s="154"/>
      <c r="W27" s="160"/>
      <c r="X27" s="157"/>
      <c r="Y27" s="160"/>
      <c r="Z27" s="154"/>
      <c r="AA27" s="163"/>
      <c r="AB27" s="165">
        <f t="shared" si="0"/>
        <v>0</v>
      </c>
    </row>
    <row r="28" spans="2:28" ht="15.6" x14ac:dyDescent="0.3">
      <c r="B28" s="80" t="s">
        <v>46</v>
      </c>
      <c r="C28" s="81"/>
      <c r="D28" s="154"/>
      <c r="E28" s="160"/>
      <c r="F28" s="154"/>
      <c r="G28" s="160"/>
      <c r="H28" s="154"/>
      <c r="I28" s="160"/>
      <c r="J28" s="154"/>
      <c r="K28" s="160"/>
      <c r="L28" s="154"/>
      <c r="M28" s="160"/>
      <c r="N28" s="154"/>
      <c r="O28" s="160"/>
      <c r="P28" s="154"/>
      <c r="Q28" s="160"/>
      <c r="R28" s="154"/>
      <c r="S28" s="160"/>
      <c r="T28" s="154"/>
      <c r="U28" s="160"/>
      <c r="V28" s="154"/>
      <c r="W28" s="160"/>
      <c r="X28" s="157"/>
      <c r="Y28" s="160"/>
      <c r="Z28" s="154"/>
      <c r="AA28" s="163"/>
      <c r="AB28" s="165">
        <f t="shared" si="0"/>
        <v>0</v>
      </c>
    </row>
    <row r="29" spans="2:28" ht="15.6" x14ac:dyDescent="0.3">
      <c r="B29" s="80" t="s">
        <v>47</v>
      </c>
      <c r="C29" s="81" t="s">
        <v>119</v>
      </c>
      <c r="D29" s="154">
        <f>3113.9</f>
        <v>3113.9</v>
      </c>
      <c r="E29" s="160"/>
      <c r="F29" s="154"/>
      <c r="G29" s="160"/>
      <c r="H29" s="154">
        <v>885</v>
      </c>
      <c r="I29" s="160"/>
      <c r="J29" s="154"/>
      <c r="K29" s="160"/>
      <c r="L29" s="154"/>
      <c r="M29" s="160"/>
      <c r="N29" s="154"/>
      <c r="O29" s="160"/>
      <c r="P29" s="154">
        <f>1138.22+3683.7+2297.7</f>
        <v>7119.62</v>
      </c>
      <c r="Q29" s="160"/>
      <c r="R29" s="154"/>
      <c r="S29" s="160"/>
      <c r="T29" s="154"/>
      <c r="U29" s="160"/>
      <c r="V29" s="154"/>
      <c r="W29" s="160"/>
      <c r="X29" s="157"/>
      <c r="Y29" s="160"/>
      <c r="Z29" s="154"/>
      <c r="AA29" s="163"/>
      <c r="AB29" s="165">
        <f t="shared" si="0"/>
        <v>11118.52</v>
      </c>
    </row>
    <row r="30" spans="2:28" ht="15.6" x14ac:dyDescent="0.3">
      <c r="B30" s="80" t="s">
        <v>48</v>
      </c>
      <c r="C30" s="81" t="s">
        <v>49</v>
      </c>
      <c r="D30" s="154"/>
      <c r="E30" s="160"/>
      <c r="F30" s="154"/>
      <c r="G30" s="160"/>
      <c r="H30" s="154"/>
      <c r="I30" s="160"/>
      <c r="J30" s="154"/>
      <c r="K30" s="160"/>
      <c r="L30" s="154"/>
      <c r="M30" s="160"/>
      <c r="N30" s="154"/>
      <c r="O30" s="160"/>
      <c r="P30" s="154"/>
      <c r="Q30" s="160"/>
      <c r="R30" s="154"/>
      <c r="S30" s="160"/>
      <c r="T30" s="154"/>
      <c r="U30" s="160"/>
      <c r="V30" s="154"/>
      <c r="W30" s="160"/>
      <c r="X30" s="157"/>
      <c r="Y30" s="160"/>
      <c r="Z30" s="154"/>
      <c r="AA30" s="163"/>
      <c r="AB30" s="165">
        <f t="shared" si="0"/>
        <v>0</v>
      </c>
    </row>
    <row r="31" spans="2:28" ht="15.6" x14ac:dyDescent="0.3">
      <c r="B31" s="80" t="s">
        <v>48</v>
      </c>
      <c r="C31" s="81" t="s">
        <v>120</v>
      </c>
      <c r="D31" s="154"/>
      <c r="E31" s="160"/>
      <c r="F31" s="154"/>
      <c r="G31" s="160"/>
      <c r="H31" s="154"/>
      <c r="I31" s="160"/>
      <c r="J31" s="154"/>
      <c r="K31" s="160"/>
      <c r="L31" s="154"/>
      <c r="M31" s="160"/>
      <c r="N31" s="154">
        <f>395.4</f>
        <v>395.4</v>
      </c>
      <c r="O31" s="160"/>
      <c r="P31" s="154"/>
      <c r="Q31" s="160"/>
      <c r="R31" s="154"/>
      <c r="S31" s="160"/>
      <c r="T31" s="154"/>
      <c r="U31" s="160"/>
      <c r="V31" s="154"/>
      <c r="W31" s="160"/>
      <c r="X31" s="157"/>
      <c r="Y31" s="160"/>
      <c r="Z31" s="154"/>
      <c r="AA31" s="163"/>
      <c r="AB31" s="165">
        <f t="shared" si="0"/>
        <v>395.4</v>
      </c>
    </row>
    <row r="32" spans="2:28" ht="15.6" x14ac:dyDescent="0.3">
      <c r="B32" s="80" t="s">
        <v>50</v>
      </c>
      <c r="C32" s="83"/>
      <c r="D32" s="154"/>
      <c r="E32" s="160"/>
      <c r="F32" s="154"/>
      <c r="G32" s="160"/>
      <c r="H32" s="154"/>
      <c r="I32" s="160"/>
      <c r="J32" s="154"/>
      <c r="K32" s="160"/>
      <c r="L32" s="154"/>
      <c r="M32" s="160"/>
      <c r="N32" s="154"/>
      <c r="O32" s="160"/>
      <c r="P32" s="154"/>
      <c r="Q32" s="160"/>
      <c r="R32" s="154"/>
      <c r="S32" s="160"/>
      <c r="T32" s="154"/>
      <c r="U32" s="160"/>
      <c r="V32" s="154"/>
      <c r="W32" s="160"/>
      <c r="X32" s="157"/>
      <c r="Y32" s="160"/>
      <c r="Z32" s="154"/>
      <c r="AA32" s="163"/>
      <c r="AB32" s="165">
        <f t="shared" si="0"/>
        <v>0</v>
      </c>
    </row>
    <row r="33" spans="2:28" ht="15.6" x14ac:dyDescent="0.3">
      <c r="B33" s="80" t="s">
        <v>50</v>
      </c>
      <c r="C33" s="81"/>
      <c r="D33" s="154"/>
      <c r="E33" s="160"/>
      <c r="F33" s="154"/>
      <c r="G33" s="160"/>
      <c r="H33" s="154"/>
      <c r="I33" s="160"/>
      <c r="J33" s="154"/>
      <c r="K33" s="160"/>
      <c r="L33" s="154"/>
      <c r="M33" s="160"/>
      <c r="N33" s="154"/>
      <c r="O33" s="160"/>
      <c r="P33" s="154"/>
      <c r="Q33" s="160"/>
      <c r="R33" s="154"/>
      <c r="S33" s="160"/>
      <c r="T33" s="154"/>
      <c r="U33" s="160"/>
      <c r="V33" s="154"/>
      <c r="W33" s="160"/>
      <c r="X33" s="157"/>
      <c r="Y33" s="160"/>
      <c r="Z33" s="154"/>
      <c r="AA33" s="163"/>
      <c r="AB33" s="165">
        <f t="shared" si="0"/>
        <v>0</v>
      </c>
    </row>
    <row r="34" spans="2:28" ht="15.6" x14ac:dyDescent="0.3">
      <c r="B34" s="84" t="s">
        <v>51</v>
      </c>
      <c r="C34" s="81"/>
      <c r="D34" s="154"/>
      <c r="E34" s="160"/>
      <c r="F34" s="154"/>
      <c r="G34" s="160"/>
      <c r="H34" s="154"/>
      <c r="I34" s="160"/>
      <c r="J34" s="154"/>
      <c r="K34" s="160"/>
      <c r="L34" s="154"/>
      <c r="M34" s="160"/>
      <c r="N34" s="154"/>
      <c r="O34" s="160"/>
      <c r="P34" s="154"/>
      <c r="Q34" s="160"/>
      <c r="R34" s="154"/>
      <c r="S34" s="160"/>
      <c r="T34" s="154"/>
      <c r="U34" s="160"/>
      <c r="V34" s="154"/>
      <c r="W34" s="160"/>
      <c r="X34" s="157"/>
      <c r="Y34" s="160"/>
      <c r="Z34" s="154"/>
      <c r="AA34" s="163"/>
      <c r="AB34" s="165">
        <f t="shared" si="0"/>
        <v>0</v>
      </c>
    </row>
    <row r="35" spans="2:28" ht="15.6" x14ac:dyDescent="0.3">
      <c r="B35" s="84" t="s">
        <v>51</v>
      </c>
      <c r="C35" s="81"/>
      <c r="D35" s="154"/>
      <c r="E35" s="160"/>
      <c r="F35" s="154"/>
      <c r="G35" s="160"/>
      <c r="H35" s="154"/>
      <c r="I35" s="160"/>
      <c r="J35" s="154"/>
      <c r="K35" s="160"/>
      <c r="L35" s="154"/>
      <c r="M35" s="160"/>
      <c r="N35" s="154"/>
      <c r="O35" s="160"/>
      <c r="P35" s="154"/>
      <c r="Q35" s="160"/>
      <c r="R35" s="154"/>
      <c r="S35" s="160"/>
      <c r="T35" s="154"/>
      <c r="U35" s="160"/>
      <c r="V35" s="154"/>
      <c r="W35" s="160"/>
      <c r="X35" s="157"/>
      <c r="Y35" s="160"/>
      <c r="Z35" s="154"/>
      <c r="AA35" s="163"/>
      <c r="AB35" s="165">
        <f t="shared" si="0"/>
        <v>0</v>
      </c>
    </row>
    <row r="36" spans="2:28" ht="15.6" x14ac:dyDescent="0.3">
      <c r="B36" s="84" t="s">
        <v>51</v>
      </c>
      <c r="C36" s="81"/>
      <c r="D36" s="154"/>
      <c r="E36" s="160"/>
      <c r="F36" s="154"/>
      <c r="G36" s="160"/>
      <c r="H36" s="154"/>
      <c r="I36" s="160"/>
      <c r="J36" s="154"/>
      <c r="K36" s="160"/>
      <c r="L36" s="154"/>
      <c r="M36" s="160"/>
      <c r="N36" s="154"/>
      <c r="O36" s="160"/>
      <c r="P36" s="154"/>
      <c r="Q36" s="160"/>
      <c r="R36" s="154"/>
      <c r="S36" s="160"/>
      <c r="T36" s="154"/>
      <c r="U36" s="160"/>
      <c r="V36" s="154"/>
      <c r="W36" s="160"/>
      <c r="X36" s="157"/>
      <c r="Y36" s="160"/>
      <c r="Z36" s="154"/>
      <c r="AA36" s="163"/>
      <c r="AB36" s="165">
        <f t="shared" si="0"/>
        <v>0</v>
      </c>
    </row>
    <row r="37" spans="2:28" ht="15.6" x14ac:dyDescent="0.3">
      <c r="B37" s="84" t="s">
        <v>51</v>
      </c>
      <c r="C37" s="81"/>
      <c r="D37" s="154"/>
      <c r="E37" s="160"/>
      <c r="F37" s="154"/>
      <c r="G37" s="160"/>
      <c r="H37" s="154"/>
      <c r="I37" s="160"/>
      <c r="J37" s="154"/>
      <c r="K37" s="160"/>
      <c r="L37" s="154"/>
      <c r="M37" s="160"/>
      <c r="N37" s="154"/>
      <c r="O37" s="160"/>
      <c r="P37" s="154"/>
      <c r="Q37" s="160"/>
      <c r="R37" s="154"/>
      <c r="S37" s="160"/>
      <c r="T37" s="154"/>
      <c r="U37" s="160"/>
      <c r="V37" s="154"/>
      <c r="W37" s="160"/>
      <c r="X37" s="157"/>
      <c r="Y37" s="160"/>
      <c r="Z37" s="154"/>
      <c r="AA37" s="163"/>
      <c r="AB37" s="165">
        <f t="shared" si="0"/>
        <v>0</v>
      </c>
    </row>
    <row r="38" spans="2:28" ht="15.6" x14ac:dyDescent="0.3">
      <c r="B38" s="84" t="s">
        <v>51</v>
      </c>
      <c r="C38" s="81"/>
      <c r="D38" s="154"/>
      <c r="E38" s="160"/>
      <c r="F38" s="154"/>
      <c r="G38" s="160"/>
      <c r="H38" s="154"/>
      <c r="I38" s="160"/>
      <c r="J38" s="154"/>
      <c r="K38" s="160"/>
      <c r="L38" s="154"/>
      <c r="M38" s="160"/>
      <c r="N38" s="154"/>
      <c r="O38" s="160"/>
      <c r="P38" s="154"/>
      <c r="Q38" s="160"/>
      <c r="R38" s="154"/>
      <c r="S38" s="160"/>
      <c r="T38" s="154"/>
      <c r="U38" s="160"/>
      <c r="V38" s="154"/>
      <c r="W38" s="160"/>
      <c r="X38" s="157"/>
      <c r="Y38" s="160"/>
      <c r="Z38" s="154"/>
      <c r="AA38" s="163"/>
      <c r="AB38" s="165">
        <f t="shared" si="0"/>
        <v>0</v>
      </c>
    </row>
    <row r="39" spans="2:28" ht="15.6" x14ac:dyDescent="0.3">
      <c r="B39" s="84" t="s">
        <v>51</v>
      </c>
      <c r="C39" s="81"/>
      <c r="D39" s="154"/>
      <c r="E39" s="160"/>
      <c r="F39" s="154"/>
      <c r="G39" s="160"/>
      <c r="H39" s="154"/>
      <c r="I39" s="160"/>
      <c r="J39" s="154"/>
      <c r="K39" s="160"/>
      <c r="L39" s="154"/>
      <c r="M39" s="160"/>
      <c r="N39" s="154"/>
      <c r="O39" s="160"/>
      <c r="P39" s="154"/>
      <c r="Q39" s="160"/>
      <c r="R39" s="154"/>
      <c r="S39" s="160"/>
      <c r="T39" s="154"/>
      <c r="U39" s="160"/>
      <c r="V39" s="154"/>
      <c r="W39" s="160"/>
      <c r="X39" s="157"/>
      <c r="Y39" s="160"/>
      <c r="Z39" s="154"/>
      <c r="AA39" s="163"/>
      <c r="AB39" s="165">
        <f t="shared" si="0"/>
        <v>0</v>
      </c>
    </row>
    <row r="40" spans="2:28" ht="15.6" x14ac:dyDescent="0.3">
      <c r="B40" s="84" t="s">
        <v>51</v>
      </c>
      <c r="C40" s="81"/>
      <c r="D40" s="154"/>
      <c r="E40" s="160"/>
      <c r="F40" s="154"/>
      <c r="G40" s="160"/>
      <c r="H40" s="154"/>
      <c r="I40" s="160"/>
      <c r="J40" s="154"/>
      <c r="K40" s="160"/>
      <c r="L40" s="154"/>
      <c r="M40" s="160"/>
      <c r="N40" s="154"/>
      <c r="O40" s="160"/>
      <c r="P40" s="154"/>
      <c r="Q40" s="160"/>
      <c r="R40" s="154"/>
      <c r="S40" s="160"/>
      <c r="T40" s="154"/>
      <c r="U40" s="160"/>
      <c r="V40" s="154"/>
      <c r="W40" s="160"/>
      <c r="X40" s="157"/>
      <c r="Y40" s="160"/>
      <c r="Z40" s="154"/>
      <c r="AA40" s="163"/>
      <c r="AB40" s="165">
        <f t="shared" si="0"/>
        <v>0</v>
      </c>
    </row>
    <row r="41" spans="2:28" ht="15.6" x14ac:dyDescent="0.3">
      <c r="B41" s="84" t="s">
        <v>52</v>
      </c>
      <c r="C41" s="81"/>
      <c r="D41" s="154"/>
      <c r="E41" s="160"/>
      <c r="F41" s="154"/>
      <c r="G41" s="160"/>
      <c r="H41" s="154"/>
      <c r="I41" s="160"/>
      <c r="J41" s="154"/>
      <c r="K41" s="160"/>
      <c r="L41" s="154"/>
      <c r="M41" s="160"/>
      <c r="N41" s="154"/>
      <c r="O41" s="160"/>
      <c r="P41" s="154"/>
      <c r="Q41" s="160"/>
      <c r="R41" s="154"/>
      <c r="S41" s="160"/>
      <c r="T41" s="154"/>
      <c r="U41" s="160"/>
      <c r="V41" s="154"/>
      <c r="W41" s="160"/>
      <c r="X41" s="157"/>
      <c r="Y41" s="160"/>
      <c r="Z41" s="154"/>
      <c r="AA41" s="163"/>
      <c r="AB41" s="165">
        <f t="shared" si="0"/>
        <v>0</v>
      </c>
    </row>
    <row r="42" spans="2:28" ht="15.6" x14ac:dyDescent="0.3">
      <c r="B42" s="84" t="s">
        <v>52</v>
      </c>
      <c r="C42" s="81"/>
      <c r="D42" s="154"/>
      <c r="E42" s="160"/>
      <c r="F42" s="154"/>
      <c r="G42" s="160"/>
      <c r="H42" s="154"/>
      <c r="I42" s="160"/>
      <c r="J42" s="154"/>
      <c r="K42" s="160"/>
      <c r="L42" s="154"/>
      <c r="M42" s="160"/>
      <c r="N42" s="154"/>
      <c r="O42" s="160"/>
      <c r="P42" s="154"/>
      <c r="Q42" s="160"/>
      <c r="R42" s="154"/>
      <c r="S42" s="160"/>
      <c r="T42" s="154"/>
      <c r="U42" s="160"/>
      <c r="V42" s="154"/>
      <c r="W42" s="160"/>
      <c r="X42" s="157"/>
      <c r="Y42" s="160"/>
      <c r="Z42" s="154"/>
      <c r="AA42" s="163"/>
      <c r="AB42" s="165">
        <f t="shared" si="0"/>
        <v>0</v>
      </c>
    </row>
    <row r="43" spans="2:28" ht="15.6" x14ac:dyDescent="0.3">
      <c r="B43" s="84" t="s">
        <v>53</v>
      </c>
      <c r="C43" s="81"/>
      <c r="D43" s="154"/>
      <c r="E43" s="160"/>
      <c r="F43" s="154"/>
      <c r="G43" s="160"/>
      <c r="H43" s="154"/>
      <c r="I43" s="160"/>
      <c r="J43" s="154"/>
      <c r="K43" s="160"/>
      <c r="L43" s="154"/>
      <c r="M43" s="160"/>
      <c r="N43" s="154"/>
      <c r="O43" s="160"/>
      <c r="P43" s="154"/>
      <c r="Q43" s="160"/>
      <c r="R43" s="154"/>
      <c r="S43" s="160"/>
      <c r="T43" s="154"/>
      <c r="U43" s="160"/>
      <c r="V43" s="154"/>
      <c r="W43" s="160"/>
      <c r="X43" s="157"/>
      <c r="Y43" s="160"/>
      <c r="Z43" s="154"/>
      <c r="AA43" s="163"/>
      <c r="AB43" s="165">
        <f t="shared" si="0"/>
        <v>0</v>
      </c>
    </row>
    <row r="44" spans="2:28" ht="15.6" x14ac:dyDescent="0.3">
      <c r="B44" s="181" t="s">
        <v>43</v>
      </c>
      <c r="C44" s="118"/>
      <c r="D44" s="175"/>
      <c r="E44" s="176"/>
      <c r="F44" s="175"/>
      <c r="G44" s="176"/>
      <c r="H44" s="175"/>
      <c r="I44" s="176"/>
      <c r="J44" s="175"/>
      <c r="K44" s="176"/>
      <c r="L44" s="175"/>
      <c r="M44" s="176"/>
      <c r="N44" s="175"/>
      <c r="O44" s="176"/>
      <c r="P44" s="175"/>
      <c r="Q44" s="176"/>
      <c r="R44" s="175"/>
      <c r="S44" s="176"/>
      <c r="T44" s="175"/>
      <c r="U44" s="176"/>
      <c r="V44" s="175"/>
      <c r="W44" s="176"/>
      <c r="X44" s="177"/>
      <c r="Y44" s="176"/>
      <c r="Z44" s="175"/>
      <c r="AA44" s="178"/>
      <c r="AB44" s="165">
        <f t="shared" si="0"/>
        <v>0</v>
      </c>
    </row>
    <row r="45" spans="2:28" ht="15.6" x14ac:dyDescent="0.3">
      <c r="B45" s="84" t="s">
        <v>121</v>
      </c>
      <c r="C45" s="118"/>
      <c r="D45" s="175"/>
      <c r="E45" s="176"/>
      <c r="F45" s="175"/>
      <c r="G45" s="176"/>
      <c r="H45" s="175"/>
      <c r="I45" s="176"/>
      <c r="J45" s="175"/>
      <c r="K45" s="176"/>
      <c r="L45" s="175"/>
      <c r="M45" s="176"/>
      <c r="N45" s="175"/>
      <c r="O45" s="176"/>
      <c r="P45" s="175">
        <f>1673.85+935.76</f>
        <v>2609.6099999999997</v>
      </c>
      <c r="Q45" s="176"/>
      <c r="R45" s="175"/>
      <c r="S45" s="176"/>
      <c r="T45" s="175"/>
      <c r="U45" s="176"/>
      <c r="V45" s="175"/>
      <c r="W45" s="176"/>
      <c r="X45" s="177"/>
      <c r="Y45" s="176"/>
      <c r="Z45" s="175"/>
      <c r="AA45" s="178"/>
      <c r="AB45" s="165">
        <f t="shared" si="0"/>
        <v>2609.6099999999997</v>
      </c>
    </row>
    <row r="46" spans="2:28" ht="15.6" x14ac:dyDescent="0.3">
      <c r="B46" s="152" t="s">
        <v>122</v>
      </c>
      <c r="C46" s="85"/>
      <c r="D46" s="155"/>
      <c r="E46" s="161"/>
      <c r="F46" s="155"/>
      <c r="G46" s="161"/>
      <c r="H46" s="155"/>
      <c r="I46" s="161"/>
      <c r="J46" s="155"/>
      <c r="K46" s="161"/>
      <c r="L46" s="155"/>
      <c r="M46" s="161"/>
      <c r="N46" s="155">
        <f>13350</f>
        <v>13350</v>
      </c>
      <c r="O46" s="161"/>
      <c r="P46" s="155">
        <f>1707.84</f>
        <v>1707.84</v>
      </c>
      <c r="Q46" s="161"/>
      <c r="R46" s="155"/>
      <c r="S46" s="161"/>
      <c r="T46" s="155"/>
      <c r="U46" s="161"/>
      <c r="V46" s="155"/>
      <c r="W46" s="161"/>
      <c r="X46" s="158"/>
      <c r="Y46" s="161"/>
      <c r="Z46" s="155"/>
      <c r="AA46" s="164"/>
      <c r="AB46" s="165">
        <f t="shared" si="0"/>
        <v>15057.84</v>
      </c>
    </row>
    <row r="47" spans="2:28" x14ac:dyDescent="0.3">
      <c r="R47"/>
    </row>
    <row r="48" spans="2:28" x14ac:dyDescent="0.3">
      <c r="D48" s="166" t="s">
        <v>104</v>
      </c>
      <c r="E48" s="167"/>
      <c r="F48" s="153" t="s">
        <v>105</v>
      </c>
      <c r="G48" s="167"/>
      <c r="H48" s="153" t="s">
        <v>106</v>
      </c>
      <c r="I48" s="167"/>
      <c r="J48" s="153" t="s">
        <v>107</v>
      </c>
      <c r="K48" s="167"/>
      <c r="L48" s="153" t="s">
        <v>108</v>
      </c>
      <c r="M48" s="167"/>
      <c r="N48" s="153" t="s">
        <v>109</v>
      </c>
      <c r="O48" s="167"/>
      <c r="P48" s="153" t="s">
        <v>110</v>
      </c>
      <c r="Q48" s="167"/>
      <c r="R48" s="153" t="s">
        <v>176</v>
      </c>
      <c r="S48" s="167"/>
      <c r="T48" s="153" t="s">
        <v>111</v>
      </c>
      <c r="U48" s="167"/>
      <c r="V48" s="153" t="s">
        <v>112</v>
      </c>
      <c r="W48" s="167"/>
      <c r="X48" s="156" t="s">
        <v>113</v>
      </c>
      <c r="Y48" s="167"/>
      <c r="Z48" s="156" t="s">
        <v>114</v>
      </c>
      <c r="AA48" s="168"/>
      <c r="AB48" s="169" t="s">
        <v>115</v>
      </c>
    </row>
    <row r="49" spans="4:28" x14ac:dyDescent="0.3">
      <c r="D49" s="170">
        <f>SUM(D4:D46)</f>
        <v>71536.820000000007</v>
      </c>
      <c r="E49" s="161"/>
      <c r="F49" s="171">
        <f>SUM(F4:F46)</f>
        <v>191456.86</v>
      </c>
      <c r="G49" s="161"/>
      <c r="H49" s="171">
        <f>SUM(H4:H46)</f>
        <v>75614.489999999991</v>
      </c>
      <c r="I49" s="161"/>
      <c r="J49" s="171">
        <f>SUM(J4:J46)</f>
        <v>74934.31</v>
      </c>
      <c r="K49" s="161"/>
      <c r="L49" s="171">
        <f>SUM(L4:L46)</f>
        <v>106155.11</v>
      </c>
      <c r="M49" s="161"/>
      <c r="N49" s="171">
        <f>SUM(N4:N46)</f>
        <v>227734.05</v>
      </c>
      <c r="O49" s="161"/>
      <c r="P49" s="171">
        <f>SUM(P4:P46)</f>
        <v>197949.26</v>
      </c>
      <c r="Q49" s="161"/>
      <c r="R49" s="171">
        <f>SUM(R4:R46)</f>
        <v>151370.31</v>
      </c>
      <c r="S49" s="161"/>
      <c r="T49" s="171">
        <f>SUM(T4:T46)</f>
        <v>0</v>
      </c>
      <c r="U49" s="161"/>
      <c r="V49" s="171">
        <f>SUM(V4:V46)</f>
        <v>0</v>
      </c>
      <c r="W49" s="161"/>
      <c r="X49" s="171">
        <f>SUM(X4:X46)</f>
        <v>0</v>
      </c>
      <c r="Y49" s="161"/>
      <c r="Z49" s="171">
        <f>SUM(Z4:Z46)</f>
        <v>0</v>
      </c>
      <c r="AA49" s="161"/>
      <c r="AB49" s="159">
        <f>SUM(AB4:AB46)</f>
        <v>1096751.2100000002</v>
      </c>
    </row>
  </sheetData>
  <mergeCells count="2">
    <mergeCell ref="B2:Z2"/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86"/>
  <sheetViews>
    <sheetView workbookViewId="0">
      <selection sqref="A1:XFD1"/>
    </sheetView>
  </sheetViews>
  <sheetFormatPr defaultRowHeight="14.4" x14ac:dyDescent="0.3"/>
  <cols>
    <col min="1" max="1" width="5.88671875" customWidth="1"/>
    <col min="2" max="2" width="20.21875" customWidth="1"/>
    <col min="3" max="3" width="8.5546875" customWidth="1"/>
    <col min="4" max="4" width="23.44140625" customWidth="1"/>
    <col min="5" max="5" width="12.109375" customWidth="1"/>
    <col min="6" max="6" width="23.109375" customWidth="1"/>
    <col min="7" max="7" width="3.77734375" customWidth="1"/>
    <col min="8" max="8" width="36.44140625" style="3" customWidth="1"/>
    <col min="9" max="9" width="26" style="3" customWidth="1"/>
    <col min="10" max="10" width="28.5546875" style="3" customWidth="1"/>
    <col min="11" max="11" width="3.77734375" style="128" customWidth="1"/>
    <col min="12" max="12" width="18.109375" style="3" customWidth="1"/>
    <col min="13" max="13" width="27.88671875" style="3" customWidth="1"/>
    <col min="14" max="14" width="29.5546875" style="3" customWidth="1"/>
    <col min="15" max="15" width="3.77734375" style="3" customWidth="1"/>
    <col min="16" max="16" width="16.21875" style="3" customWidth="1"/>
    <col min="17" max="17" width="25.109375" style="3" customWidth="1"/>
    <col min="18" max="18" width="27.44140625" style="3" customWidth="1"/>
    <col min="19" max="19" width="3.88671875" style="3" customWidth="1"/>
    <col min="20" max="20" width="14.6640625" style="3" customWidth="1"/>
    <col min="21" max="21" width="23.77734375" style="3" customWidth="1"/>
    <col min="22" max="22" width="25.88671875" style="3" customWidth="1"/>
    <col min="23" max="23" width="3.88671875" style="3" customWidth="1"/>
    <col min="24" max="24" width="14.6640625" style="3" customWidth="1"/>
    <col min="25" max="25" width="23.77734375" style="3" customWidth="1"/>
    <col min="26" max="26" width="25.77734375" style="3" customWidth="1"/>
    <col min="27" max="27" width="3.88671875" style="3" customWidth="1"/>
    <col min="28" max="28" width="14.109375" style="3" customWidth="1"/>
    <col min="29" max="29" width="23.21875" style="3" customWidth="1"/>
    <col min="30" max="30" width="25.88671875" style="3" customWidth="1"/>
    <col min="31" max="31" width="3.88671875" style="3" customWidth="1"/>
    <col min="32" max="32" width="16.5546875" style="3" customWidth="1"/>
    <col min="33" max="33" width="22.6640625" style="3" customWidth="1"/>
    <col min="34" max="34" width="25.109375" style="3" customWidth="1"/>
    <col min="35" max="35" width="3.88671875" style="3" customWidth="1"/>
    <col min="36" max="36" width="16.21875" style="3" customWidth="1"/>
    <col min="37" max="37" width="23.6640625" style="3" customWidth="1"/>
    <col min="38" max="38" width="27.88671875" style="3" customWidth="1"/>
    <col min="39" max="39" width="3.88671875" style="3" customWidth="1"/>
    <col min="40" max="40" width="20" style="3" customWidth="1"/>
    <col min="41" max="41" width="27.44140625" style="3" customWidth="1"/>
    <col min="42" max="42" width="31.5546875" style="3" customWidth="1"/>
    <col min="43" max="43" width="3.77734375" style="3" customWidth="1"/>
    <col min="44" max="44" width="17.44140625" style="3" customWidth="1"/>
    <col min="45" max="45" width="25.44140625" style="3" customWidth="1"/>
    <col min="46" max="46" width="28.88671875" style="3" customWidth="1"/>
    <col min="47" max="47" width="3.88671875" style="3" customWidth="1"/>
    <col min="48" max="48" width="19.5546875" style="3" customWidth="1"/>
    <col min="49" max="49" width="27" style="3" customWidth="1"/>
    <col min="50" max="50" width="31" style="3" customWidth="1"/>
    <col min="51" max="51" width="3.77734375" style="3" customWidth="1"/>
    <col min="52" max="52" width="19.33203125" style="3" customWidth="1"/>
    <col min="53" max="53" width="26.77734375" style="3" customWidth="1"/>
    <col min="54" max="54" width="30.6640625" style="3" customWidth="1"/>
  </cols>
  <sheetData>
    <row r="1" spans="1:54" s="213" customFormat="1" x14ac:dyDescent="0.3">
      <c r="A1" s="213" t="s">
        <v>98</v>
      </c>
    </row>
    <row r="2" spans="1:54" ht="15.6" x14ac:dyDescent="0.3">
      <c r="B2" s="239" t="s">
        <v>123</v>
      </c>
      <c r="C2" s="240"/>
      <c r="D2" s="240"/>
      <c r="E2" s="240"/>
      <c r="F2" s="241"/>
      <c r="G2" s="185"/>
      <c r="H2" s="242" t="s">
        <v>124</v>
      </c>
      <c r="I2" s="243"/>
      <c r="J2" s="244"/>
      <c r="K2" s="186"/>
      <c r="L2" s="242" t="s">
        <v>124</v>
      </c>
      <c r="M2" s="243"/>
      <c r="N2" s="244"/>
      <c r="O2" s="187"/>
      <c r="P2" s="242" t="s">
        <v>124</v>
      </c>
      <c r="Q2" s="243"/>
      <c r="R2" s="244"/>
      <c r="S2" s="187"/>
      <c r="T2" s="242" t="s">
        <v>124</v>
      </c>
      <c r="U2" s="243"/>
      <c r="V2" s="244"/>
      <c r="W2" s="187"/>
      <c r="X2" s="242" t="s">
        <v>124</v>
      </c>
      <c r="Y2" s="243"/>
      <c r="Z2" s="244"/>
      <c r="AA2" s="187"/>
      <c r="AB2" s="242" t="s">
        <v>124</v>
      </c>
      <c r="AC2" s="243"/>
      <c r="AD2" s="244"/>
      <c r="AE2" s="187"/>
      <c r="AF2" s="242" t="s">
        <v>124</v>
      </c>
      <c r="AG2" s="243"/>
      <c r="AH2" s="244"/>
      <c r="AI2" s="187"/>
      <c r="AJ2" s="242" t="s">
        <v>124</v>
      </c>
      <c r="AK2" s="243"/>
      <c r="AL2" s="244"/>
      <c r="AM2" s="187"/>
      <c r="AN2" s="242" t="s">
        <v>124</v>
      </c>
      <c r="AO2" s="243"/>
      <c r="AP2" s="244"/>
      <c r="AQ2" s="187"/>
      <c r="AR2" s="242" t="s">
        <v>124</v>
      </c>
      <c r="AS2" s="243"/>
      <c r="AT2" s="244"/>
      <c r="AU2" s="187"/>
      <c r="AV2" s="242" t="s">
        <v>124</v>
      </c>
      <c r="AW2" s="243"/>
      <c r="AX2" s="244"/>
      <c r="AY2" s="187"/>
      <c r="AZ2" s="242" t="s">
        <v>124</v>
      </c>
      <c r="BA2" s="243"/>
      <c r="BB2" s="245"/>
    </row>
    <row r="3" spans="1:54" ht="15.6" x14ac:dyDescent="0.3">
      <c r="B3" s="121" t="s">
        <v>103</v>
      </c>
      <c r="C3" s="122" t="s">
        <v>9</v>
      </c>
      <c r="D3" s="122" t="s">
        <v>125</v>
      </c>
      <c r="E3" s="122" t="s">
        <v>11</v>
      </c>
      <c r="F3" s="122" t="s">
        <v>126</v>
      </c>
      <c r="G3" s="115"/>
      <c r="H3" s="123" t="s">
        <v>127</v>
      </c>
      <c r="I3" s="123" t="s">
        <v>128</v>
      </c>
      <c r="J3" s="123" t="s">
        <v>129</v>
      </c>
      <c r="K3" s="130"/>
      <c r="L3" s="123" t="s">
        <v>130</v>
      </c>
      <c r="M3" s="123" t="s">
        <v>131</v>
      </c>
      <c r="N3" s="123" t="s">
        <v>129</v>
      </c>
      <c r="O3" s="132"/>
      <c r="P3" s="123" t="s">
        <v>132</v>
      </c>
      <c r="Q3" s="123" t="s">
        <v>133</v>
      </c>
      <c r="R3" s="123" t="s">
        <v>129</v>
      </c>
      <c r="S3" s="132"/>
      <c r="T3" s="123" t="s">
        <v>134</v>
      </c>
      <c r="U3" s="123" t="s">
        <v>135</v>
      </c>
      <c r="V3" s="123" t="s">
        <v>129</v>
      </c>
      <c r="W3" s="132"/>
      <c r="X3" s="123" t="s">
        <v>136</v>
      </c>
      <c r="Y3" s="123" t="s">
        <v>137</v>
      </c>
      <c r="Z3" s="123" t="s">
        <v>129</v>
      </c>
      <c r="AA3" s="132"/>
      <c r="AB3" s="123" t="s">
        <v>138</v>
      </c>
      <c r="AC3" s="123" t="s">
        <v>139</v>
      </c>
      <c r="AD3" s="123" t="s">
        <v>129</v>
      </c>
      <c r="AE3" s="132"/>
      <c r="AF3" s="123" t="s">
        <v>140</v>
      </c>
      <c r="AG3" s="123" t="s">
        <v>141</v>
      </c>
      <c r="AH3" s="123" t="s">
        <v>129</v>
      </c>
      <c r="AI3" s="132"/>
      <c r="AJ3" s="123" t="s">
        <v>142</v>
      </c>
      <c r="AK3" s="123" t="s">
        <v>143</v>
      </c>
      <c r="AL3" s="123" t="s">
        <v>129</v>
      </c>
      <c r="AM3" s="132"/>
      <c r="AN3" s="123" t="s">
        <v>144</v>
      </c>
      <c r="AO3" s="123" t="s">
        <v>145</v>
      </c>
      <c r="AP3" s="123" t="s">
        <v>129</v>
      </c>
      <c r="AQ3" s="132"/>
      <c r="AR3" s="123" t="s">
        <v>146</v>
      </c>
      <c r="AS3" s="123" t="s">
        <v>147</v>
      </c>
      <c r="AT3" s="123" t="s">
        <v>129</v>
      </c>
      <c r="AU3" s="132"/>
      <c r="AV3" s="123" t="s">
        <v>148</v>
      </c>
      <c r="AW3" s="133" t="s">
        <v>149</v>
      </c>
      <c r="AX3" s="133" t="s">
        <v>129</v>
      </c>
      <c r="AY3" s="132"/>
      <c r="AZ3" s="124" t="s">
        <v>150</v>
      </c>
      <c r="BA3" s="124" t="s">
        <v>151</v>
      </c>
      <c r="BB3" s="124" t="s">
        <v>129</v>
      </c>
    </row>
    <row r="4" spans="1:54" ht="15.6" x14ac:dyDescent="0.3">
      <c r="B4" s="80" t="s">
        <v>17</v>
      </c>
      <c r="C4" s="81" t="s">
        <v>18</v>
      </c>
      <c r="D4" s="81">
        <v>14583.333333333334</v>
      </c>
      <c r="E4" s="81">
        <v>2187.4999999999982</v>
      </c>
      <c r="F4" s="82">
        <v>16770.833333333332</v>
      </c>
      <c r="G4" s="115"/>
      <c r="H4" s="82">
        <f>(11340+7700)*1.15</f>
        <v>21896</v>
      </c>
      <c r="I4" s="82">
        <f>16770.83+1300+5620.2</f>
        <v>23691.030000000002</v>
      </c>
      <c r="J4" s="82">
        <f>SUM(H4-I4)</f>
        <v>-1795.0300000000025</v>
      </c>
      <c r="K4" s="131"/>
      <c r="L4" s="82">
        <f>48020*1.15</f>
        <v>55222.999999999993</v>
      </c>
      <c r="M4" s="82">
        <f>16770.83+1300+10594.4</f>
        <v>28665.230000000003</v>
      </c>
      <c r="N4" s="82">
        <f>SUM(L4-M4)</f>
        <v>26557.76999999999</v>
      </c>
      <c r="O4" s="115"/>
      <c r="P4" s="82">
        <f>58940*1.15</f>
        <v>67781</v>
      </c>
      <c r="Q4" s="82">
        <f>16770.83+1300+11078.9</f>
        <v>29149.730000000003</v>
      </c>
      <c r="R4" s="82">
        <f>P4-Q4</f>
        <v>38631.269999999997</v>
      </c>
      <c r="S4" s="115"/>
      <c r="T4" s="82">
        <f>18354+26404</f>
        <v>44758</v>
      </c>
      <c r="U4" s="82">
        <f>16770.83+1300+11466.5</f>
        <v>29537.33</v>
      </c>
      <c r="V4" s="82">
        <f>T4-U4</f>
        <v>15220.669999999998</v>
      </c>
      <c r="W4" s="115"/>
      <c r="X4" s="82">
        <f>49427</f>
        <v>49427</v>
      </c>
      <c r="Y4" s="82">
        <f>16770.83+1300+12144.8</f>
        <v>30215.63</v>
      </c>
      <c r="Z4" s="82">
        <f>X4-Y4</f>
        <v>19211.37</v>
      </c>
      <c r="AA4" s="115"/>
      <c r="AB4" s="82">
        <f>49427</f>
        <v>49427</v>
      </c>
      <c r="AC4" s="82">
        <f>16770.83+1300+11563.4</f>
        <v>29634.230000000003</v>
      </c>
      <c r="AD4" s="82">
        <f>AB4-AC4</f>
        <v>19792.769999999997</v>
      </c>
      <c r="AE4" s="115"/>
      <c r="AF4" s="82">
        <f>68264</f>
        <v>68264</v>
      </c>
      <c r="AG4" s="82">
        <f>16770.83+1300+11660.3</f>
        <v>29731.13</v>
      </c>
      <c r="AH4" s="82">
        <f>AF4-AG4</f>
        <v>38532.869999999995</v>
      </c>
      <c r="AI4" s="115"/>
      <c r="AJ4" s="82"/>
      <c r="AK4" s="82">
        <f>16770.83+1300+12823.1</f>
        <v>30893.93</v>
      </c>
      <c r="AL4" s="82">
        <f>AJ4-AK4</f>
        <v>-30893.93</v>
      </c>
      <c r="AM4" s="115"/>
      <c r="AN4" s="82"/>
      <c r="AO4" s="82">
        <f>16770.83+1300</f>
        <v>18070.830000000002</v>
      </c>
      <c r="AP4" s="82"/>
      <c r="AQ4" s="115"/>
      <c r="AR4" s="82"/>
      <c r="AS4" s="82">
        <f>16770.83+1300</f>
        <v>18070.830000000002</v>
      </c>
      <c r="AT4" s="82"/>
      <c r="AU4" s="115"/>
      <c r="AV4" s="82"/>
      <c r="AW4" s="82">
        <f>16770.83+1300</f>
        <v>18070.830000000002</v>
      </c>
      <c r="AX4" s="134"/>
      <c r="AY4" s="115"/>
      <c r="AZ4" s="135"/>
      <c r="BA4" s="82">
        <f>16770.83+1300</f>
        <v>18070.830000000002</v>
      </c>
      <c r="BB4" s="125"/>
    </row>
    <row r="5" spans="1:54" ht="15.6" x14ac:dyDescent="0.3">
      <c r="B5" s="80" t="s">
        <v>19</v>
      </c>
      <c r="C5" s="81" t="s">
        <v>20</v>
      </c>
      <c r="D5" s="81">
        <v>20416.666666666664</v>
      </c>
      <c r="E5" s="81">
        <v>3062.4999999999964</v>
      </c>
      <c r="F5" s="82">
        <v>23479.166666666661</v>
      </c>
      <c r="G5" s="115"/>
      <c r="H5" s="82"/>
      <c r="I5" s="82">
        <f>23479.17+1300+10653.73</f>
        <v>35432.899999999994</v>
      </c>
      <c r="J5" s="82">
        <f t="shared" ref="J5:J43" si="0">SUM(H5-I5)</f>
        <v>-35432.899999999994</v>
      </c>
      <c r="K5" s="131"/>
      <c r="L5" s="82"/>
      <c r="M5" s="82">
        <f>23479.17+1300+16323.26</f>
        <v>41102.43</v>
      </c>
      <c r="N5" s="82">
        <f t="shared" ref="N5:N43" si="1">SUM(L5-M5)</f>
        <v>-41102.43</v>
      </c>
      <c r="O5" s="115"/>
      <c r="P5" s="82"/>
      <c r="Q5" s="82">
        <f>23479.17+1300+10840.64</f>
        <v>35619.81</v>
      </c>
      <c r="R5" s="82">
        <f t="shared" ref="R5:R43" si="2">P5-Q5</f>
        <v>-35619.81</v>
      </c>
      <c r="S5" s="115"/>
      <c r="T5" s="82"/>
      <c r="U5" s="82">
        <f>23479.17+1300+15430.25</f>
        <v>40209.42</v>
      </c>
      <c r="V5" s="82">
        <f t="shared" ref="V5:V43" si="3">T5-U5</f>
        <v>-40209.42</v>
      </c>
      <c r="W5" s="115"/>
      <c r="X5" s="82"/>
      <c r="Y5" s="82">
        <f>23479.17+1300+16946.28</f>
        <v>41725.449999999997</v>
      </c>
      <c r="Z5" s="82">
        <f t="shared" ref="Z5:Z43" si="4">X5-Y5</f>
        <v>-41725.449999999997</v>
      </c>
      <c r="AA5" s="115"/>
      <c r="AB5" s="82"/>
      <c r="AC5" s="82">
        <f>23479.17+1300+18794.59</f>
        <v>43573.759999999995</v>
      </c>
      <c r="AD5" s="82">
        <f t="shared" ref="AD5:AD43" si="5">AB5-AC5</f>
        <v>-43573.759999999995</v>
      </c>
      <c r="AE5" s="115"/>
      <c r="AF5" s="82"/>
      <c r="AG5" s="82">
        <f>23479.17+1300+16385.56</f>
        <v>41164.729999999996</v>
      </c>
      <c r="AH5" s="82">
        <f t="shared" ref="AH5:AH43" si="6">AF5-AG5</f>
        <v>-41164.729999999996</v>
      </c>
      <c r="AI5" s="115"/>
      <c r="AJ5" s="82"/>
      <c r="AK5" s="82">
        <f>23479.17+1300+16676.3</f>
        <v>41455.47</v>
      </c>
      <c r="AL5" s="82">
        <f>AJ5-AK5</f>
        <v>-41455.47</v>
      </c>
      <c r="AM5" s="115"/>
      <c r="AN5" s="82"/>
      <c r="AO5" s="82">
        <f>23479.17+1300</f>
        <v>24779.17</v>
      </c>
      <c r="AP5" s="82"/>
      <c r="AQ5" s="115"/>
      <c r="AR5" s="82"/>
      <c r="AS5" s="82">
        <f>23479.17+1300</f>
        <v>24779.17</v>
      </c>
      <c r="AT5" s="82"/>
      <c r="AU5" s="115"/>
      <c r="AV5" s="82"/>
      <c r="AW5" s="82">
        <f>23479.17+1300</f>
        <v>24779.17</v>
      </c>
      <c r="AX5" s="134"/>
      <c r="AY5" s="115"/>
      <c r="AZ5" s="135"/>
      <c r="BA5" s="82">
        <f>23479.17+1300</f>
        <v>24779.17</v>
      </c>
      <c r="BB5" s="125"/>
    </row>
    <row r="6" spans="1:54" ht="15.6" x14ac:dyDescent="0.3">
      <c r="B6" s="80" t="s">
        <v>17</v>
      </c>
      <c r="C6" s="81" t="s">
        <v>21</v>
      </c>
      <c r="D6" s="81">
        <v>14583.333333333334</v>
      </c>
      <c r="E6" s="81">
        <v>2187.4999999999982</v>
      </c>
      <c r="F6" s="82">
        <v>16770.833333333332</v>
      </c>
      <c r="G6" s="115"/>
      <c r="H6" s="82">
        <f>(12180)*1.15</f>
        <v>14006.999999999998</v>
      </c>
      <c r="I6" s="82">
        <f>16770.83+1300+6437.2</f>
        <v>24508.030000000002</v>
      </c>
      <c r="J6" s="82">
        <f t="shared" si="0"/>
        <v>-10501.030000000004</v>
      </c>
      <c r="K6" s="131"/>
      <c r="L6" s="82">
        <f>42000*1.15</f>
        <v>48299.999999999993</v>
      </c>
      <c r="M6" s="82">
        <f>16770.83+1300+14373.98</f>
        <v>32444.81</v>
      </c>
      <c r="N6" s="82">
        <f t="shared" si="1"/>
        <v>15855.189999999991</v>
      </c>
      <c r="O6" s="115"/>
      <c r="P6" s="82">
        <f>56840*1.15</f>
        <v>65365.999999999993</v>
      </c>
      <c r="Q6" s="82">
        <f>16770.83+1300+12545.23</f>
        <v>30616.06</v>
      </c>
      <c r="R6" s="82">
        <f t="shared" si="2"/>
        <v>34749.939999999988</v>
      </c>
      <c r="S6" s="115"/>
      <c r="T6" s="82">
        <f>31395</f>
        <v>31395</v>
      </c>
      <c r="U6" s="82">
        <f>16770.83+1300+12398.93</f>
        <v>30469.760000000002</v>
      </c>
      <c r="V6" s="82">
        <f t="shared" si="3"/>
        <v>925.23999999999796</v>
      </c>
      <c r="W6" s="115"/>
      <c r="X6" s="82">
        <f>38479</f>
        <v>38479</v>
      </c>
      <c r="Y6" s="82">
        <f>16770.83+1300+13441.31</f>
        <v>31512.14</v>
      </c>
      <c r="Z6" s="82">
        <f t="shared" si="4"/>
        <v>6966.8600000000006</v>
      </c>
      <c r="AA6" s="115"/>
      <c r="AB6" s="82">
        <f>55867</f>
        <v>55867</v>
      </c>
      <c r="AC6" s="82">
        <f>16770.83+1300+15178.63</f>
        <v>33249.46</v>
      </c>
      <c r="AD6" s="82">
        <f t="shared" si="5"/>
        <v>22617.54</v>
      </c>
      <c r="AE6" s="115"/>
      <c r="AF6" s="82">
        <f>9177</f>
        <v>9177</v>
      </c>
      <c r="AG6" s="82">
        <f>16770.83+1300+12728.1</f>
        <v>30798.93</v>
      </c>
      <c r="AH6" s="82">
        <f t="shared" si="6"/>
        <v>-21621.93</v>
      </c>
      <c r="AI6" s="115"/>
      <c r="AJ6" s="82">
        <f>50876</f>
        <v>50876</v>
      </c>
      <c r="AK6" s="82">
        <f>16770.83+1300+16001.56</f>
        <v>34072.39</v>
      </c>
      <c r="AL6" s="82">
        <f>AJ6-AK6</f>
        <v>16803.61</v>
      </c>
      <c r="AM6" s="115"/>
      <c r="AN6" s="82"/>
      <c r="AO6" s="82">
        <f>16770.83+1300</f>
        <v>18070.830000000002</v>
      </c>
      <c r="AP6" s="82"/>
      <c r="AQ6" s="115"/>
      <c r="AR6" s="82"/>
      <c r="AS6" s="82">
        <f>16770.83+1300</f>
        <v>18070.830000000002</v>
      </c>
      <c r="AT6" s="82"/>
      <c r="AU6" s="115"/>
      <c r="AV6" s="82"/>
      <c r="AW6" s="82">
        <f>16770.83+1300</f>
        <v>18070.830000000002</v>
      </c>
      <c r="AX6" s="134"/>
      <c r="AY6" s="115"/>
      <c r="AZ6" s="135"/>
      <c r="BA6" s="82">
        <f>16770.83+1300</f>
        <v>18070.830000000002</v>
      </c>
      <c r="BB6" s="125"/>
    </row>
    <row r="7" spans="1:54" ht="15.6" x14ac:dyDescent="0.3">
      <c r="B7" s="80" t="s">
        <v>22</v>
      </c>
      <c r="C7" s="81" t="s">
        <v>23</v>
      </c>
      <c r="D7" s="81">
        <v>17500</v>
      </c>
      <c r="E7" s="81">
        <v>2625</v>
      </c>
      <c r="F7" s="82">
        <v>20125</v>
      </c>
      <c r="G7" s="115"/>
      <c r="H7" s="82">
        <f>(28980)*1.15</f>
        <v>33327</v>
      </c>
      <c r="I7" s="82">
        <f>20125+1300+5620.2</f>
        <v>27045.200000000001</v>
      </c>
      <c r="J7" s="82">
        <f t="shared" si="0"/>
        <v>6281.7999999999993</v>
      </c>
      <c r="K7" s="131"/>
      <c r="L7" s="82">
        <f>46620*1.15</f>
        <v>53612.999999999993</v>
      </c>
      <c r="M7" s="82">
        <f>20125+1300+12726.2</f>
        <v>34151.199999999997</v>
      </c>
      <c r="N7" s="82">
        <f t="shared" si="1"/>
        <v>19461.799999999996</v>
      </c>
      <c r="O7" s="115"/>
      <c r="P7" s="82">
        <f>34860*1.15</f>
        <v>40089</v>
      </c>
      <c r="Q7" s="82">
        <f>20125+1300+10755.9</f>
        <v>32180.9</v>
      </c>
      <c r="R7" s="82">
        <f t="shared" si="2"/>
        <v>7908.0999999999985</v>
      </c>
      <c r="S7" s="115"/>
      <c r="T7" s="82">
        <v>50071</v>
      </c>
      <c r="U7" s="82">
        <f>20125+1300+11837.95</f>
        <v>33262.949999999997</v>
      </c>
      <c r="V7" s="82">
        <f t="shared" si="3"/>
        <v>16808.050000000003</v>
      </c>
      <c r="W7" s="115"/>
      <c r="X7" s="82">
        <f>56994</f>
        <v>56994</v>
      </c>
      <c r="Y7" s="82">
        <f>20125+1300+13905.15</f>
        <v>35330.15</v>
      </c>
      <c r="Z7" s="82">
        <f t="shared" si="4"/>
        <v>21663.85</v>
      </c>
      <c r="AA7" s="115"/>
      <c r="AB7" s="82">
        <v>44275</v>
      </c>
      <c r="AC7" s="82">
        <f>20125+1300+13840.55</f>
        <v>35265.550000000003</v>
      </c>
      <c r="AD7" s="82">
        <f t="shared" si="5"/>
        <v>9009.4499999999971</v>
      </c>
      <c r="AE7" s="115"/>
      <c r="AF7" s="82">
        <f>71484</f>
        <v>71484</v>
      </c>
      <c r="AG7" s="82">
        <f>20125+1300+13162.25</f>
        <v>34587.25</v>
      </c>
      <c r="AH7" s="82">
        <f t="shared" si="6"/>
        <v>36896.75</v>
      </c>
      <c r="AI7" s="115"/>
      <c r="AJ7" s="82">
        <v>50554</v>
      </c>
      <c r="AK7" s="82">
        <f>20125+1300+13452.95</f>
        <v>34877.949999999997</v>
      </c>
      <c r="AL7" s="82">
        <v>15676.050000000003</v>
      </c>
      <c r="AM7" s="115"/>
      <c r="AN7" s="82"/>
      <c r="AO7" s="82">
        <f>20125+1300</f>
        <v>21425</v>
      </c>
      <c r="AP7" s="82"/>
      <c r="AQ7" s="115"/>
      <c r="AR7" s="82"/>
      <c r="AS7" s="82">
        <f>20125+1300</f>
        <v>21425</v>
      </c>
      <c r="AT7" s="82"/>
      <c r="AU7" s="115"/>
      <c r="AV7" s="82"/>
      <c r="AW7" s="82">
        <f>20125+1300</f>
        <v>21425</v>
      </c>
      <c r="AX7" s="134"/>
      <c r="AY7" s="115"/>
      <c r="AZ7" s="135"/>
      <c r="BA7" s="82">
        <f>20125+1300</f>
        <v>21425</v>
      </c>
      <c r="BB7" s="125"/>
    </row>
    <row r="8" spans="1:54" ht="15.6" x14ac:dyDescent="0.3">
      <c r="B8" s="80" t="s">
        <v>15</v>
      </c>
      <c r="C8" s="81" t="s">
        <v>16</v>
      </c>
      <c r="D8" s="81">
        <v>43750</v>
      </c>
      <c r="E8" s="81">
        <v>6562.4999999999927</v>
      </c>
      <c r="F8" s="82">
        <v>50312.499999999993</v>
      </c>
      <c r="G8" s="115"/>
      <c r="H8" s="82">
        <f>(4620+12180+12180)*1.15</f>
        <v>33327</v>
      </c>
      <c r="I8" s="82">
        <f>50312.5+1300+5705.7</f>
        <v>57318.2</v>
      </c>
      <c r="J8" s="82">
        <f t="shared" si="0"/>
        <v>-23991.199999999997</v>
      </c>
      <c r="K8" s="131"/>
      <c r="L8" s="82">
        <f>46340*1.15</f>
        <v>53290.999999999993</v>
      </c>
      <c r="M8" s="82">
        <f>50312.5+1300+11228.53</f>
        <v>62841.03</v>
      </c>
      <c r="N8" s="82">
        <f t="shared" si="1"/>
        <v>-9550.0300000000061</v>
      </c>
      <c r="O8" s="115"/>
      <c r="P8" s="82">
        <f>54180*1.15</f>
        <v>62306.999999999993</v>
      </c>
      <c r="Q8" s="82">
        <f>50312.5+1300+12545.23</f>
        <v>64157.729999999996</v>
      </c>
      <c r="R8" s="82">
        <f t="shared" si="2"/>
        <v>-1850.7300000000032</v>
      </c>
      <c r="S8" s="115"/>
      <c r="T8" s="82">
        <v>44275</v>
      </c>
      <c r="U8" s="82">
        <f>50312.5+1300+11996.6</f>
        <v>63609.1</v>
      </c>
      <c r="V8" s="82">
        <f t="shared" si="3"/>
        <v>-19334.099999999999</v>
      </c>
      <c r="W8" s="115"/>
      <c r="X8" s="82">
        <f>49266</f>
        <v>49266</v>
      </c>
      <c r="Y8" s="82">
        <f>50312.5+1300+14044.8</f>
        <v>65657.3</v>
      </c>
      <c r="Z8" s="82">
        <f t="shared" si="4"/>
        <v>-16391.300000000003</v>
      </c>
      <c r="AA8" s="115"/>
      <c r="AB8" s="82">
        <v>61663</v>
      </c>
      <c r="AC8" s="82">
        <f>50312.5+1300+16550.19</f>
        <v>68162.69</v>
      </c>
      <c r="AD8" s="82">
        <f t="shared" si="5"/>
        <v>-6499.6900000000023</v>
      </c>
      <c r="AE8" s="115"/>
      <c r="AF8" s="82">
        <f>16100+52325</f>
        <v>68425</v>
      </c>
      <c r="AG8" s="82">
        <f>50312.5+1300+13368.16</f>
        <v>64980.66</v>
      </c>
      <c r="AH8" s="82">
        <f t="shared" si="6"/>
        <v>3444.3399999999965</v>
      </c>
      <c r="AI8" s="115"/>
      <c r="AJ8" s="82">
        <f>53613</f>
        <v>53613</v>
      </c>
      <c r="AK8" s="82">
        <f>50312.5+1300+15196.91</f>
        <v>66809.41</v>
      </c>
      <c r="AL8" s="82">
        <v>-13196.410000000003</v>
      </c>
      <c r="AM8" s="115"/>
      <c r="AN8" s="82"/>
      <c r="AO8" s="82">
        <f>50312.5+1300</f>
        <v>51612.5</v>
      </c>
      <c r="AP8" s="82"/>
      <c r="AQ8" s="115"/>
      <c r="AR8" s="82"/>
      <c r="AS8" s="82">
        <f>50312.5+1300</f>
        <v>51612.5</v>
      </c>
      <c r="AT8" s="82"/>
      <c r="AU8" s="115"/>
      <c r="AV8" s="82"/>
      <c r="AW8" s="82">
        <f>50312.5+1300</f>
        <v>51612.5</v>
      </c>
      <c r="AX8" s="134"/>
      <c r="AY8" s="115"/>
      <c r="AZ8" s="135"/>
      <c r="BA8" s="82">
        <f>50312.5+1300</f>
        <v>51612.5</v>
      </c>
      <c r="BB8" s="125"/>
    </row>
    <row r="9" spans="1:54" ht="15.6" x14ac:dyDescent="0.3">
      <c r="B9" s="84" t="s">
        <v>15</v>
      </c>
      <c r="C9" s="81" t="s">
        <v>64</v>
      </c>
      <c r="D9" s="81"/>
      <c r="E9" s="81"/>
      <c r="F9" s="81">
        <v>29036.28</v>
      </c>
      <c r="G9" s="116"/>
      <c r="H9" s="82">
        <f>(28980)*1.15</f>
        <v>33327</v>
      </c>
      <c r="I9" s="82">
        <f>29036.28+2401.81+5620.2</f>
        <v>37058.29</v>
      </c>
      <c r="J9" s="82">
        <f t="shared" si="0"/>
        <v>-3731.2900000000009</v>
      </c>
      <c r="K9" s="131"/>
      <c r="L9" s="82">
        <f>47628*1.15</f>
        <v>54772.2</v>
      </c>
      <c r="M9" s="82">
        <f>29036.28+2401.81+12661.6</f>
        <v>44099.69</v>
      </c>
      <c r="N9" s="82">
        <f t="shared" si="1"/>
        <v>10672.509999999995</v>
      </c>
      <c r="O9" s="115"/>
      <c r="P9" s="82">
        <f>55580*1.15</f>
        <v>63916.999999999993</v>
      </c>
      <c r="Q9" s="82">
        <f>29036.28+2401.81+9883.8</f>
        <v>41321.89</v>
      </c>
      <c r="R9" s="82">
        <f t="shared" si="2"/>
        <v>22595.109999999993</v>
      </c>
      <c r="S9" s="115"/>
      <c r="T9" s="82">
        <f>47817</f>
        <v>47817</v>
      </c>
      <c r="U9" s="82">
        <f>29036.28+2401.81+11078.9</f>
        <v>42516.99</v>
      </c>
      <c r="V9" s="82">
        <f t="shared" si="3"/>
        <v>5300.010000000002</v>
      </c>
      <c r="W9" s="115"/>
      <c r="X9" s="82">
        <f>45724</f>
        <v>45724</v>
      </c>
      <c r="Y9" s="82">
        <f>29036.28+2401.81+11563.4</f>
        <v>43001.49</v>
      </c>
      <c r="Z9" s="82">
        <f t="shared" si="4"/>
        <v>2722.510000000002</v>
      </c>
      <c r="AA9" s="115"/>
      <c r="AB9" s="82">
        <f>49427</f>
        <v>49427</v>
      </c>
      <c r="AC9" s="82">
        <f>29036.28+2401.81+11837.95</f>
        <v>43276.04</v>
      </c>
      <c r="AD9" s="82">
        <f t="shared" si="5"/>
        <v>6150.9599999999991</v>
      </c>
      <c r="AE9" s="115"/>
      <c r="AF9" s="82">
        <f>68747</f>
        <v>68747</v>
      </c>
      <c r="AG9" s="82">
        <f>29036.28+2401.81+11563.4</f>
        <v>43001.49</v>
      </c>
      <c r="AH9" s="82">
        <f t="shared" si="6"/>
        <v>25745.510000000002</v>
      </c>
      <c r="AI9" s="115"/>
      <c r="AJ9" s="82">
        <f>51037</f>
        <v>51037</v>
      </c>
      <c r="AK9" s="82">
        <f>29036.28+2401.81+13872.85</f>
        <v>45310.94</v>
      </c>
      <c r="AL9" s="82">
        <v>5726.0599999999977</v>
      </c>
      <c r="AM9" s="115"/>
      <c r="AN9" s="82"/>
      <c r="AO9" s="82">
        <f>29036.28+2401.81</f>
        <v>31438.09</v>
      </c>
      <c r="AP9" s="82"/>
      <c r="AQ9" s="115"/>
      <c r="AR9" s="82"/>
      <c r="AS9" s="82">
        <f>29036.28+2401.81</f>
        <v>31438.09</v>
      </c>
      <c r="AT9" s="82"/>
      <c r="AU9" s="115"/>
      <c r="AV9" s="82"/>
      <c r="AW9" s="82">
        <f>29036.28+2401.81</f>
        <v>31438.09</v>
      </c>
      <c r="AX9" s="134"/>
      <c r="AY9" s="115"/>
      <c r="AZ9" s="135"/>
      <c r="BA9" s="82">
        <f>29036.28+2401.81</f>
        <v>31438.09</v>
      </c>
      <c r="BB9" s="125"/>
    </row>
    <row r="10" spans="1:54" ht="15.6" x14ac:dyDescent="0.3">
      <c r="B10" s="84" t="s">
        <v>15</v>
      </c>
      <c r="C10" s="81" t="s">
        <v>66</v>
      </c>
      <c r="D10" s="83"/>
      <c r="E10" s="83"/>
      <c r="F10" s="81">
        <v>29819</v>
      </c>
      <c r="G10" s="116"/>
      <c r="H10" s="82">
        <f>(28980)*1.15</f>
        <v>33327</v>
      </c>
      <c r="I10" s="82">
        <f>29819+2797.63+5620.2</f>
        <v>38236.83</v>
      </c>
      <c r="J10" s="82">
        <f t="shared" si="0"/>
        <v>-4909.8300000000017</v>
      </c>
      <c r="K10" s="131"/>
      <c r="L10" s="82">
        <f>(42420+5040)*1.15</f>
        <v>54578.999999999993</v>
      </c>
      <c r="M10" s="82">
        <f>29819+2797.63+12726.2</f>
        <v>45342.83</v>
      </c>
      <c r="N10" s="82">
        <f t="shared" si="1"/>
        <v>9236.169999999991</v>
      </c>
      <c r="O10" s="115"/>
      <c r="P10" s="82">
        <f>52780*1.15</f>
        <v>60696.999999999993</v>
      </c>
      <c r="Q10" s="82">
        <f>29819+2797.63+11078.9</f>
        <v>43695.53</v>
      </c>
      <c r="R10" s="82">
        <f t="shared" si="2"/>
        <v>17001.469999999994</v>
      </c>
      <c r="S10" s="115"/>
      <c r="T10" s="82">
        <f>43631</f>
        <v>43631</v>
      </c>
      <c r="U10" s="82">
        <f>29819+2797.63+9334.7</f>
        <v>41951.33</v>
      </c>
      <c r="V10" s="82">
        <f t="shared" si="3"/>
        <v>1679.6699999999983</v>
      </c>
      <c r="W10" s="115"/>
      <c r="X10" s="82">
        <f>36869+16583</f>
        <v>53452</v>
      </c>
      <c r="Y10" s="82">
        <f>29819+2797.63+4199+1620</f>
        <v>38435.630000000005</v>
      </c>
      <c r="Z10" s="82">
        <f t="shared" si="4"/>
        <v>15016.369999999995</v>
      </c>
      <c r="AA10" s="115"/>
      <c r="AB10" s="82">
        <v>55062</v>
      </c>
      <c r="AC10" s="82">
        <f>29819+2797.63+11730</f>
        <v>44346.630000000005</v>
      </c>
      <c r="AD10" s="82">
        <f t="shared" si="5"/>
        <v>10715.369999999995</v>
      </c>
      <c r="AE10" s="115"/>
      <c r="AF10" s="82">
        <f>73577</f>
        <v>73577</v>
      </c>
      <c r="AG10" s="82">
        <f>29819+2797.63+12225</f>
        <v>44841.630000000005</v>
      </c>
      <c r="AH10" s="82">
        <f t="shared" si="6"/>
        <v>28735.369999999995</v>
      </c>
      <c r="AI10" s="115"/>
      <c r="AJ10" s="82">
        <f>51520</f>
        <v>51520</v>
      </c>
      <c r="AK10" s="82">
        <f>29819+2797.63+12045</f>
        <v>44661.630000000005</v>
      </c>
      <c r="AL10" s="82">
        <v>6858.3699999999953</v>
      </c>
      <c r="AM10" s="115"/>
      <c r="AN10" s="82"/>
      <c r="AO10" s="82">
        <f>29819+2797.63</f>
        <v>32616.63</v>
      </c>
      <c r="AP10" s="82"/>
      <c r="AQ10" s="115"/>
      <c r="AR10" s="82"/>
      <c r="AS10" s="82">
        <f>29819+2797.63</f>
        <v>32616.63</v>
      </c>
      <c r="AT10" s="82"/>
      <c r="AU10" s="115"/>
      <c r="AV10" s="82"/>
      <c r="AW10" s="82">
        <f>29819+2797.63</f>
        <v>32616.63</v>
      </c>
      <c r="AX10" s="134"/>
      <c r="AY10" s="115"/>
      <c r="AZ10" s="135"/>
      <c r="BA10" s="82">
        <f>29819+2797.63</f>
        <v>32616.63</v>
      </c>
      <c r="BB10" s="125"/>
    </row>
    <row r="11" spans="1:54" ht="15.6" x14ac:dyDescent="0.3">
      <c r="B11" s="80" t="s">
        <v>24</v>
      </c>
      <c r="C11" s="81" t="s">
        <v>25</v>
      </c>
      <c r="D11" s="81">
        <v>8750</v>
      </c>
      <c r="E11" s="81">
        <v>1312.5</v>
      </c>
      <c r="F11" s="82">
        <v>10062.5</v>
      </c>
      <c r="G11" s="115"/>
      <c r="H11" s="82">
        <f>(8700+10800+3000)*1.15</f>
        <v>25874.999999999996</v>
      </c>
      <c r="I11" s="82">
        <f>10062.5+1300+7315.95</f>
        <v>18678.45</v>
      </c>
      <c r="J11" s="82">
        <f t="shared" si="0"/>
        <v>7196.5499999999956</v>
      </c>
      <c r="K11" s="131"/>
      <c r="L11" s="82">
        <f>25900*1.15</f>
        <v>29784.999999999996</v>
      </c>
      <c r="M11" s="82">
        <f>10062.5+1300+12144.8</f>
        <v>23507.3</v>
      </c>
      <c r="N11" s="82">
        <f t="shared" si="1"/>
        <v>6277.6999999999971</v>
      </c>
      <c r="O11" s="115"/>
      <c r="P11" s="82">
        <f>35500*1.15</f>
        <v>40825</v>
      </c>
      <c r="Q11" s="82">
        <f>10062.5+1300+11078.9</f>
        <v>22441.4</v>
      </c>
      <c r="R11" s="82">
        <f t="shared" si="2"/>
        <v>18383.599999999999</v>
      </c>
      <c r="S11" s="115"/>
      <c r="T11" s="82">
        <f>34500</f>
        <v>34500</v>
      </c>
      <c r="U11" s="82">
        <f>10062.5+1300+11078.9</f>
        <v>22441.4</v>
      </c>
      <c r="V11" s="82">
        <f t="shared" si="3"/>
        <v>12058.599999999999</v>
      </c>
      <c r="W11" s="115"/>
      <c r="X11" s="82">
        <f>32775</f>
        <v>32775</v>
      </c>
      <c r="Y11" s="82">
        <f>10062.5+1300+11563.4</f>
        <v>22925.9</v>
      </c>
      <c r="Z11" s="82">
        <f t="shared" si="4"/>
        <v>9849.0999999999985</v>
      </c>
      <c r="AA11" s="115"/>
      <c r="AB11" s="82">
        <f>38065</f>
        <v>38065</v>
      </c>
      <c r="AC11" s="82">
        <f>10062.5+1300+13388.35</f>
        <v>24750.85</v>
      </c>
      <c r="AD11" s="82">
        <f t="shared" si="5"/>
        <v>13314.150000000001</v>
      </c>
      <c r="AE11" s="115"/>
      <c r="AF11" s="82">
        <f>47840</f>
        <v>47840</v>
      </c>
      <c r="AG11" s="82">
        <f>10062.5+1300+10045.3</f>
        <v>21407.8</v>
      </c>
      <c r="AH11" s="82">
        <f t="shared" si="6"/>
        <v>26432.2</v>
      </c>
      <c r="AI11" s="115"/>
      <c r="AJ11" s="82">
        <v>35880</v>
      </c>
      <c r="AK11" s="82">
        <f>10062.5+1300+13695.2</f>
        <v>25057.7</v>
      </c>
      <c r="AL11" s="82">
        <v>10822.3</v>
      </c>
      <c r="AM11" s="115"/>
      <c r="AN11" s="82"/>
      <c r="AO11" s="82">
        <f>10062.5+1300</f>
        <v>11362.5</v>
      </c>
      <c r="AP11" s="82"/>
      <c r="AQ11" s="115"/>
      <c r="AR11" s="82"/>
      <c r="AS11" s="82">
        <f>10062.5+1300</f>
        <v>11362.5</v>
      </c>
      <c r="AT11" s="82"/>
      <c r="AU11" s="115"/>
      <c r="AV11" s="82"/>
      <c r="AW11" s="82">
        <f>10062.5+1300</f>
        <v>11362.5</v>
      </c>
      <c r="AX11" s="134"/>
      <c r="AY11" s="115"/>
      <c r="AZ11" s="135"/>
      <c r="BA11" s="82">
        <f>10062.5+1300</f>
        <v>11362.5</v>
      </c>
      <c r="BB11" s="125"/>
    </row>
    <row r="12" spans="1:54" ht="15.6" x14ac:dyDescent="0.3">
      <c r="B12" s="80" t="s">
        <v>24</v>
      </c>
      <c r="C12" s="81" t="s">
        <v>26</v>
      </c>
      <c r="D12" s="81">
        <v>8750</v>
      </c>
      <c r="E12" s="81">
        <v>1312.5</v>
      </c>
      <c r="F12" s="82">
        <v>10062.5</v>
      </c>
      <c r="G12" s="115"/>
      <c r="H12" s="82"/>
      <c r="I12" s="82">
        <f>10062.5+1300+6492.3</f>
        <v>17854.8</v>
      </c>
      <c r="J12" s="82">
        <f t="shared" si="0"/>
        <v>-17854.8</v>
      </c>
      <c r="K12" s="131"/>
      <c r="L12" s="82">
        <f>32000*1.15</f>
        <v>36800</v>
      </c>
      <c r="M12" s="82">
        <f>10062.5+1300+12726.2</f>
        <v>24088.7</v>
      </c>
      <c r="N12" s="82">
        <f t="shared" si="1"/>
        <v>12711.3</v>
      </c>
      <c r="O12" s="115"/>
      <c r="P12" s="82">
        <f>36100*1.15</f>
        <v>41515</v>
      </c>
      <c r="Q12" s="82">
        <f>10062.5+1300+11078.9</f>
        <v>22441.4</v>
      </c>
      <c r="R12" s="82">
        <f t="shared" si="2"/>
        <v>19073.599999999999</v>
      </c>
      <c r="S12" s="115"/>
      <c r="T12" s="82">
        <v>34385</v>
      </c>
      <c r="U12" s="82">
        <f>10062.5+1300+11078.9</f>
        <v>22441.4</v>
      </c>
      <c r="V12" s="82">
        <f t="shared" si="3"/>
        <v>11943.599999999999</v>
      </c>
      <c r="W12" s="115"/>
      <c r="X12" s="82">
        <v>33350</v>
      </c>
      <c r="Y12" s="82">
        <f>10062.5+1300+12144.8</f>
        <v>23507.3</v>
      </c>
      <c r="Z12" s="82">
        <f t="shared" si="4"/>
        <v>9842.7000000000007</v>
      </c>
      <c r="AA12" s="115"/>
      <c r="AB12" s="82">
        <v>35190</v>
      </c>
      <c r="AC12" s="82">
        <f>10062.5+1300+11563.4</f>
        <v>22925.9</v>
      </c>
      <c r="AD12" s="82">
        <f t="shared" si="5"/>
        <v>12264.099999999999</v>
      </c>
      <c r="AE12" s="115"/>
      <c r="AF12" s="82">
        <f>13570+31740</f>
        <v>45310</v>
      </c>
      <c r="AG12" s="82">
        <f>10062.5+1300+10497.5</f>
        <v>21860</v>
      </c>
      <c r="AH12" s="82">
        <f t="shared" si="6"/>
        <v>23450</v>
      </c>
      <c r="AI12" s="115"/>
      <c r="AJ12" s="82">
        <f>33695</f>
        <v>33695</v>
      </c>
      <c r="AK12" s="82">
        <f>10062.5+1300+12823.1</f>
        <v>24185.599999999999</v>
      </c>
      <c r="AL12" s="82">
        <v>9509.4000000000015</v>
      </c>
      <c r="AM12" s="115"/>
      <c r="AN12" s="82"/>
      <c r="AO12" s="82">
        <f>10062.5+1300</f>
        <v>11362.5</v>
      </c>
      <c r="AP12" s="82"/>
      <c r="AQ12" s="115"/>
      <c r="AR12" s="82"/>
      <c r="AS12" s="82">
        <f>10062.5+1300</f>
        <v>11362.5</v>
      </c>
      <c r="AT12" s="82"/>
      <c r="AU12" s="115"/>
      <c r="AV12" s="82"/>
      <c r="AW12" s="82">
        <f>10062.5+1300</f>
        <v>11362.5</v>
      </c>
      <c r="AX12" s="134"/>
      <c r="AY12" s="115"/>
      <c r="AZ12" s="135"/>
      <c r="BA12" s="82">
        <f>10062.5+1300</f>
        <v>11362.5</v>
      </c>
      <c r="BB12" s="125"/>
    </row>
    <row r="13" spans="1:54" ht="15.6" x14ac:dyDescent="0.3">
      <c r="B13" s="80" t="s">
        <v>40</v>
      </c>
      <c r="C13" s="81" t="s">
        <v>41</v>
      </c>
      <c r="D13" s="81">
        <v>11666.666666666666</v>
      </c>
      <c r="E13" s="81">
        <v>1749.9999999999982</v>
      </c>
      <c r="F13" s="82">
        <v>13416.666666666664</v>
      </c>
      <c r="G13" s="115"/>
      <c r="H13" s="82"/>
      <c r="I13" s="82">
        <f>13416.67+1300</f>
        <v>14716.67</v>
      </c>
      <c r="J13" s="82">
        <f t="shared" si="0"/>
        <v>-14716.67</v>
      </c>
      <c r="K13" s="131"/>
      <c r="L13" s="82">
        <f>14152.5*1.15</f>
        <v>16275.374999999998</v>
      </c>
      <c r="M13" s="82">
        <f>13416.67+1300</f>
        <v>14716.67</v>
      </c>
      <c r="N13" s="82">
        <f t="shared" si="1"/>
        <v>1558.7049999999981</v>
      </c>
      <c r="O13" s="115"/>
      <c r="P13" s="82">
        <f>36260*1.15</f>
        <v>41699</v>
      </c>
      <c r="Q13" s="82">
        <f>13416.67+1300</f>
        <v>14716.67</v>
      </c>
      <c r="R13" s="82">
        <f t="shared" si="2"/>
        <v>26982.33</v>
      </c>
      <c r="S13" s="115"/>
      <c r="T13" s="82">
        <f>31593.38</f>
        <v>31593.38</v>
      </c>
      <c r="U13" s="82">
        <f>13416.67+1300</f>
        <v>14716.67</v>
      </c>
      <c r="V13" s="82">
        <f t="shared" si="3"/>
        <v>16876.71</v>
      </c>
      <c r="W13" s="115"/>
      <c r="X13" s="82">
        <f>31699.75</f>
        <v>31699.75</v>
      </c>
      <c r="Y13" s="82">
        <f>13416.67+1300</f>
        <v>14716.67</v>
      </c>
      <c r="Z13" s="82">
        <f t="shared" si="4"/>
        <v>16983.080000000002</v>
      </c>
      <c r="AA13" s="115"/>
      <c r="AB13" s="82">
        <f>20104.88</f>
        <v>20104.88</v>
      </c>
      <c r="AC13" s="82">
        <f>13416.67+1300</f>
        <v>14716.67</v>
      </c>
      <c r="AD13" s="82">
        <f t="shared" si="5"/>
        <v>5388.2100000000009</v>
      </c>
      <c r="AE13" s="115"/>
      <c r="AF13" s="82">
        <f>47017.75</f>
        <v>47017.75</v>
      </c>
      <c r="AG13" s="82">
        <f>13416.67+1300</f>
        <v>14716.67</v>
      </c>
      <c r="AH13" s="82">
        <f t="shared" si="6"/>
        <v>32301.08</v>
      </c>
      <c r="AI13" s="115"/>
      <c r="AJ13" s="82">
        <f>33614.5</f>
        <v>33614.5</v>
      </c>
      <c r="AK13" s="82">
        <f>13416.67+1300</f>
        <v>14716.67</v>
      </c>
      <c r="AL13" s="82">
        <v>18897.830000000002</v>
      </c>
      <c r="AM13" s="115"/>
      <c r="AN13" s="82"/>
      <c r="AO13" s="82">
        <f>13416.67+1300</f>
        <v>14716.67</v>
      </c>
      <c r="AP13" s="82"/>
      <c r="AQ13" s="115"/>
      <c r="AR13" s="82"/>
      <c r="AS13" s="82">
        <f>13416.67+1300</f>
        <v>14716.67</v>
      </c>
      <c r="AT13" s="82"/>
      <c r="AU13" s="115"/>
      <c r="AV13" s="82"/>
      <c r="AW13" s="82">
        <f>13416.67+1300</f>
        <v>14716.67</v>
      </c>
      <c r="AX13" s="134"/>
      <c r="AY13" s="115"/>
      <c r="AZ13" s="135"/>
      <c r="BA13" s="82">
        <f>13416.67+1300</f>
        <v>14716.67</v>
      </c>
      <c r="BB13" s="125"/>
    </row>
    <row r="14" spans="1:54" ht="15.6" x14ac:dyDescent="0.3">
      <c r="B14" s="80" t="s">
        <v>38</v>
      </c>
      <c r="C14" s="81" t="s">
        <v>39</v>
      </c>
      <c r="D14" s="81">
        <v>11666.666666666666</v>
      </c>
      <c r="E14" s="81">
        <v>1749.9999999999982</v>
      </c>
      <c r="F14" s="82">
        <v>13416.666666666664</v>
      </c>
      <c r="G14" s="115"/>
      <c r="H14" s="82">
        <f>(4800+10440+10440)*1.15</f>
        <v>29531.999999999996</v>
      </c>
      <c r="I14" s="82">
        <f>13416.67+1300</f>
        <v>14716.67</v>
      </c>
      <c r="J14" s="82">
        <f t="shared" si="0"/>
        <v>14815.329999999996</v>
      </c>
      <c r="K14" s="131"/>
      <c r="L14" s="82">
        <f>41160*1.15</f>
        <v>47333.999999999993</v>
      </c>
      <c r="M14" s="82">
        <f>13416.67+1300</f>
        <v>14716.67</v>
      </c>
      <c r="N14" s="82">
        <f t="shared" si="1"/>
        <v>32617.329999999994</v>
      </c>
      <c r="O14" s="115"/>
      <c r="P14" s="82">
        <f>47040*1.15</f>
        <v>54095.999999999993</v>
      </c>
      <c r="Q14" s="82">
        <f>13416.67+1300</f>
        <v>14716.67</v>
      </c>
      <c r="R14" s="82">
        <f t="shared" si="2"/>
        <v>39379.329999999994</v>
      </c>
      <c r="S14" s="115"/>
      <c r="T14" s="82">
        <v>40986</v>
      </c>
      <c r="U14" s="82">
        <f>13416.67+1300</f>
        <v>14716.67</v>
      </c>
      <c r="V14" s="82">
        <f t="shared" si="3"/>
        <v>26269.33</v>
      </c>
      <c r="W14" s="115"/>
      <c r="X14" s="82">
        <f>41538</f>
        <v>41538</v>
      </c>
      <c r="Y14" s="82">
        <f>13416.67+1300</f>
        <v>14716.67</v>
      </c>
      <c r="Z14" s="82">
        <f t="shared" si="4"/>
        <v>26821.33</v>
      </c>
      <c r="AA14" s="115"/>
      <c r="AB14" s="82">
        <f>52440</f>
        <v>52440</v>
      </c>
      <c r="AC14" s="82">
        <f>13416.67+1300</f>
        <v>14716.67</v>
      </c>
      <c r="AD14" s="82">
        <f t="shared" si="5"/>
        <v>37723.33</v>
      </c>
      <c r="AE14" s="115"/>
      <c r="AF14" s="82">
        <f>12006+44988</f>
        <v>56994</v>
      </c>
      <c r="AG14" s="82">
        <f>13416.67+1300</f>
        <v>14716.67</v>
      </c>
      <c r="AH14" s="82">
        <f t="shared" si="6"/>
        <v>42277.33</v>
      </c>
      <c r="AI14" s="115"/>
      <c r="AJ14" s="82">
        <f>46644</f>
        <v>46644</v>
      </c>
      <c r="AK14" s="82">
        <f>13416.67+1300</f>
        <v>14716.67</v>
      </c>
      <c r="AL14" s="82">
        <v>31927.33</v>
      </c>
      <c r="AM14" s="115"/>
      <c r="AN14" s="82"/>
      <c r="AO14" s="82">
        <f>13416.67+1300</f>
        <v>14716.67</v>
      </c>
      <c r="AP14" s="82"/>
      <c r="AQ14" s="115"/>
      <c r="AR14" s="82"/>
      <c r="AS14" s="82">
        <f>13416.67+1300</f>
        <v>14716.67</v>
      </c>
      <c r="AT14" s="82"/>
      <c r="AU14" s="115"/>
      <c r="AV14" s="82"/>
      <c r="AW14" s="82">
        <f>13416.67+1300</f>
        <v>14716.67</v>
      </c>
      <c r="AX14" s="134"/>
      <c r="AY14" s="115"/>
      <c r="AZ14" s="135"/>
      <c r="BA14" s="82">
        <f>13416.67+1300</f>
        <v>14716.67</v>
      </c>
      <c r="BB14" s="125"/>
    </row>
    <row r="15" spans="1:54" ht="15.6" x14ac:dyDescent="0.3">
      <c r="B15" s="117" t="s">
        <v>116</v>
      </c>
      <c r="C15" s="118" t="s">
        <v>70</v>
      </c>
      <c r="D15" s="119"/>
      <c r="E15" s="119"/>
      <c r="F15" s="118">
        <f>28641</f>
        <v>28641</v>
      </c>
      <c r="G15" s="120"/>
      <c r="H15" s="82"/>
      <c r="I15" s="82">
        <f>28641+1459.25+8204.2</f>
        <v>38304.449999999997</v>
      </c>
      <c r="J15" s="82">
        <f t="shared" si="0"/>
        <v>-38304.449999999997</v>
      </c>
      <c r="K15" s="131"/>
      <c r="L15" s="82">
        <f>29160*1.15</f>
        <v>33534</v>
      </c>
      <c r="M15" s="82">
        <f>28641+1459.25+12112.5</f>
        <v>42212.75</v>
      </c>
      <c r="N15" s="82">
        <f t="shared" si="1"/>
        <v>-8678.75</v>
      </c>
      <c r="O15" s="115"/>
      <c r="P15" s="82">
        <f>50280*1.15</f>
        <v>57821.999999999993</v>
      </c>
      <c r="Q15" s="82">
        <f>28641+1459.25+10594.4</f>
        <v>40694.65</v>
      </c>
      <c r="R15" s="82">
        <f t="shared" si="2"/>
        <v>17127.349999999991</v>
      </c>
      <c r="S15" s="115"/>
      <c r="T15" s="82">
        <f>11040</f>
        <v>11040</v>
      </c>
      <c r="U15" s="82">
        <f>28641+1459.25+12047.9</f>
        <v>42148.15</v>
      </c>
      <c r="V15" s="82">
        <f t="shared" si="3"/>
        <v>-31108.15</v>
      </c>
      <c r="W15" s="115"/>
      <c r="X15" s="82">
        <f>41952</f>
        <v>41952</v>
      </c>
      <c r="Y15" s="82">
        <f>28641+1459.25+12144.8</f>
        <v>42245.05</v>
      </c>
      <c r="Z15" s="82">
        <f t="shared" si="4"/>
        <v>-293.05000000000291</v>
      </c>
      <c r="AA15" s="115"/>
      <c r="AB15" s="82">
        <f>42366</f>
        <v>42366</v>
      </c>
      <c r="AC15" s="82">
        <f>28641+1459.25+12112.5</f>
        <v>42212.75</v>
      </c>
      <c r="AD15" s="82">
        <f t="shared" si="5"/>
        <v>153.25</v>
      </c>
      <c r="AE15" s="115"/>
      <c r="AF15" s="82">
        <f>58788</f>
        <v>58788</v>
      </c>
      <c r="AG15" s="82">
        <f>28641+1459.25+11660.3</f>
        <v>41760.550000000003</v>
      </c>
      <c r="AH15" s="82">
        <f t="shared" si="6"/>
        <v>17027.449999999997</v>
      </c>
      <c r="AI15" s="115"/>
      <c r="AJ15" s="82">
        <f>41124</f>
        <v>41124</v>
      </c>
      <c r="AK15" s="82">
        <f>28641+1459.25+12241.7</f>
        <v>42341.95</v>
      </c>
      <c r="AL15" s="82">
        <v>-1217.9499999999971</v>
      </c>
      <c r="AM15" s="115"/>
      <c r="AN15" s="82"/>
      <c r="AO15" s="82">
        <f>28641+1459.25</f>
        <v>30100.25</v>
      </c>
      <c r="AP15" s="82"/>
      <c r="AQ15" s="115"/>
      <c r="AR15" s="82"/>
      <c r="AS15" s="82">
        <f>28641+1459.25</f>
        <v>30100.25</v>
      </c>
      <c r="AT15" s="82"/>
      <c r="AU15" s="115"/>
      <c r="AV15" s="82"/>
      <c r="AW15" s="82">
        <f>28641+1459.25</f>
        <v>30100.25</v>
      </c>
      <c r="AX15" s="134"/>
      <c r="AY15" s="115"/>
      <c r="AZ15" s="135"/>
      <c r="BA15" s="82">
        <f>28641+1459.25</f>
        <v>30100.25</v>
      </c>
      <c r="BB15" s="125"/>
    </row>
    <row r="16" spans="1:54" ht="15.6" x14ac:dyDescent="0.3">
      <c r="B16" s="80" t="s">
        <v>34</v>
      </c>
      <c r="C16" s="81" t="s">
        <v>35</v>
      </c>
      <c r="D16" s="81">
        <v>37916.666666666664</v>
      </c>
      <c r="E16" s="81">
        <v>5687.4999999999927</v>
      </c>
      <c r="F16" s="82">
        <v>43604.166666666657</v>
      </c>
      <c r="G16" s="115"/>
      <c r="H16" s="82">
        <f>(35707.5)*1.15</f>
        <v>41063.625</v>
      </c>
      <c r="I16" s="82">
        <f>43604.17+1300+5620.2</f>
        <v>50524.369999999995</v>
      </c>
      <c r="J16" s="82">
        <f t="shared" si="0"/>
        <v>-9460.7449999999953</v>
      </c>
      <c r="K16" s="131"/>
      <c r="L16" s="82">
        <f>52612.5*1.15</f>
        <v>60504.374999999993</v>
      </c>
      <c r="M16" s="82">
        <f>43604.17+1300+12726.2</f>
        <v>57630.369999999995</v>
      </c>
      <c r="N16" s="82">
        <f t="shared" si="1"/>
        <v>2874.0049999999974</v>
      </c>
      <c r="O16" s="115"/>
      <c r="P16" s="82">
        <f>67792.5*1.15</f>
        <v>77961.375</v>
      </c>
      <c r="Q16" s="82">
        <f>43604.17+1300+13267.55</f>
        <v>58171.72</v>
      </c>
      <c r="R16" s="82">
        <f t="shared" si="2"/>
        <v>19789.654999999999</v>
      </c>
      <c r="S16" s="115"/>
      <c r="T16" s="82">
        <f>59512.5</f>
        <v>59512.5</v>
      </c>
      <c r="U16" s="82">
        <f>43604.17+1300+11175.8</f>
        <v>56079.97</v>
      </c>
      <c r="V16" s="82">
        <f t="shared" si="3"/>
        <v>3432.5299999999988</v>
      </c>
      <c r="W16" s="115"/>
      <c r="X16" s="82">
        <v>59710.879999999997</v>
      </c>
      <c r="Y16" s="82">
        <f>43604.17+1300+12403.2</f>
        <v>57307.369999999995</v>
      </c>
      <c r="Z16" s="82">
        <f t="shared" si="4"/>
        <v>2403.510000000002</v>
      </c>
      <c r="AA16" s="115"/>
      <c r="AB16" s="82">
        <f>75580.88</f>
        <v>75580.88</v>
      </c>
      <c r="AC16" s="82">
        <f>43604.17+1300+11563.4</f>
        <v>56467.57</v>
      </c>
      <c r="AD16" s="82">
        <f t="shared" si="5"/>
        <v>19113.310000000005</v>
      </c>
      <c r="AE16" s="115"/>
      <c r="AF16" s="82">
        <f>51775.88+29557.88</f>
        <v>81333.759999999995</v>
      </c>
      <c r="AG16" s="82">
        <f>43604.17+1300+11337.3</f>
        <v>56241.47</v>
      </c>
      <c r="AH16" s="82">
        <f t="shared" si="6"/>
        <v>25092.289999999994</v>
      </c>
      <c r="AI16" s="115"/>
      <c r="AJ16" s="82">
        <f>60702.75</f>
        <v>60702.75</v>
      </c>
      <c r="AK16" s="82">
        <f>43604.17+1300+15408.71</f>
        <v>60312.88</v>
      </c>
      <c r="AL16" s="82">
        <v>389.87000000000262</v>
      </c>
      <c r="AM16" s="115"/>
      <c r="AN16" s="82"/>
      <c r="AO16" s="82">
        <f>43604.17+1300</f>
        <v>44904.17</v>
      </c>
      <c r="AP16" s="82"/>
      <c r="AQ16" s="115"/>
      <c r="AR16" s="82"/>
      <c r="AS16" s="82">
        <f>43604.17+1300</f>
        <v>44904.17</v>
      </c>
      <c r="AT16" s="82"/>
      <c r="AU16" s="115"/>
      <c r="AV16" s="82"/>
      <c r="AW16" s="82">
        <f>43604.17+1300</f>
        <v>44904.17</v>
      </c>
      <c r="AX16" s="134"/>
      <c r="AY16" s="115"/>
      <c r="AZ16" s="135"/>
      <c r="BA16" s="82">
        <f>43604.17+1300</f>
        <v>44904.17</v>
      </c>
      <c r="BB16" s="125"/>
    </row>
    <row r="17" spans="1:277" ht="15.6" x14ac:dyDescent="0.3">
      <c r="B17" s="80" t="s">
        <v>34</v>
      </c>
      <c r="C17" s="81" t="s">
        <v>68</v>
      </c>
      <c r="D17" s="81"/>
      <c r="E17" s="81"/>
      <c r="F17" s="82">
        <f>19088.95</f>
        <v>19088.95</v>
      </c>
      <c r="G17" s="115"/>
      <c r="H17" s="82">
        <f>(41400)*1.15</f>
        <v>47609.999999999993</v>
      </c>
      <c r="I17" s="82">
        <f>19088.95+2414.09+8660.23</f>
        <v>30163.27</v>
      </c>
      <c r="J17" s="82">
        <f t="shared" si="0"/>
        <v>17446.729999999992</v>
      </c>
      <c r="K17" s="131"/>
      <c r="L17" s="82">
        <f>56752.5*1.15</f>
        <v>65265.374999999993</v>
      </c>
      <c r="M17" s="82">
        <f>19088.95+2414.09+15141.06</f>
        <v>36644.1</v>
      </c>
      <c r="N17" s="82">
        <f t="shared" si="1"/>
        <v>28621.274999999994</v>
      </c>
      <c r="O17" s="115"/>
      <c r="P17" s="82">
        <f>66412.5*1.15</f>
        <v>76374.375</v>
      </c>
      <c r="Q17" s="82">
        <f>19088.95+2414.09+10594.4</f>
        <v>32097.440000000002</v>
      </c>
      <c r="R17" s="82">
        <f t="shared" si="2"/>
        <v>44276.934999999998</v>
      </c>
      <c r="S17" s="115"/>
      <c r="T17" s="82">
        <f>22019.63+36699.38</f>
        <v>58719.009999999995</v>
      </c>
      <c r="U17" s="82">
        <f>19088.95+2414.09+13076.37</f>
        <v>34579.410000000003</v>
      </c>
      <c r="V17" s="82">
        <f t="shared" si="3"/>
        <v>24139.599999999991</v>
      </c>
      <c r="W17" s="115"/>
      <c r="X17" s="82">
        <v>59710.879999999997</v>
      </c>
      <c r="Y17" s="82">
        <f>19088.95+2414.09+14873.42</f>
        <v>36376.46</v>
      </c>
      <c r="Z17" s="82">
        <f t="shared" si="4"/>
        <v>23334.42</v>
      </c>
      <c r="AA17" s="115"/>
      <c r="AB17" s="82">
        <v>74192.25</v>
      </c>
      <c r="AC17" s="82">
        <f>19088.95+2414.09+17301.34</f>
        <v>38804.380000000005</v>
      </c>
      <c r="AD17" s="82">
        <f t="shared" si="5"/>
        <v>35387.869999999995</v>
      </c>
      <c r="AE17" s="115"/>
      <c r="AF17" s="82">
        <f>7141.5+86888.25</f>
        <v>94029.75</v>
      </c>
      <c r="AG17" s="82">
        <f>19088.95+2414.09+14146.95</f>
        <v>35649.990000000005</v>
      </c>
      <c r="AH17" s="82">
        <f t="shared" si="6"/>
        <v>58379.759999999995</v>
      </c>
      <c r="AI17" s="115"/>
      <c r="AJ17" s="82">
        <f>29161.13+20631</f>
        <v>49792.130000000005</v>
      </c>
      <c r="AK17" s="82">
        <f>19088.95+2414.09+12241.7</f>
        <v>33744.740000000005</v>
      </c>
      <c r="AL17" s="82">
        <v>16047.39</v>
      </c>
      <c r="AM17" s="115"/>
      <c r="AN17" s="82"/>
      <c r="AO17" s="82">
        <f>19088.95+2414.09</f>
        <v>21503.040000000001</v>
      </c>
      <c r="AP17" s="82"/>
      <c r="AQ17" s="115"/>
      <c r="AR17" s="82"/>
      <c r="AS17" s="82">
        <f>19088.95+2414.09</f>
        <v>21503.040000000001</v>
      </c>
      <c r="AT17" s="82"/>
      <c r="AU17" s="115"/>
      <c r="AV17" s="82"/>
      <c r="AW17" s="82">
        <f>19088.95+2414.09</f>
        <v>21503.040000000001</v>
      </c>
      <c r="AX17" s="134"/>
      <c r="AY17" s="115"/>
      <c r="AZ17" s="135"/>
      <c r="BA17" s="82">
        <f>19088.95+2414.09</f>
        <v>21503.040000000001</v>
      </c>
      <c r="BB17" s="125"/>
    </row>
    <row r="18" spans="1:277" ht="15.6" x14ac:dyDescent="0.3">
      <c r="B18" s="80" t="s">
        <v>32</v>
      </c>
      <c r="C18" s="81" t="s">
        <v>33</v>
      </c>
      <c r="D18" s="81">
        <v>29166.666666666668</v>
      </c>
      <c r="E18" s="81">
        <v>4374.9999999999964</v>
      </c>
      <c r="F18" s="82">
        <v>33541.666666666664</v>
      </c>
      <c r="G18" s="115"/>
      <c r="H18" s="82">
        <f>16330+4887.5+4025+22827.5+6555+9775+4887.5</f>
        <v>69287.5</v>
      </c>
      <c r="I18" s="82">
        <f>33541.67+4922.42+6802.95</f>
        <v>45267.039999999994</v>
      </c>
      <c r="J18" s="82">
        <f t="shared" si="0"/>
        <v>24020.460000000006</v>
      </c>
      <c r="K18" s="131"/>
      <c r="L18" s="82">
        <f>77850*1.15</f>
        <v>89527.5</v>
      </c>
      <c r="M18" s="82">
        <f>33541.67+4922.42</f>
        <v>38464.089999999997</v>
      </c>
      <c r="N18" s="82">
        <f t="shared" si="1"/>
        <v>51063.41</v>
      </c>
      <c r="O18" s="115"/>
      <c r="P18" s="82">
        <f>(4250+3500+4250+17000+25200+10500+6600)*1.15</f>
        <v>81995</v>
      </c>
      <c r="Q18" s="82">
        <f>33541.67+4922.42</f>
        <v>38464.089999999997</v>
      </c>
      <c r="R18" s="82">
        <f t="shared" si="2"/>
        <v>43530.91</v>
      </c>
      <c r="S18" s="115"/>
      <c r="T18" s="82">
        <f>4887.5+4887.5+4887.5+4887.5+4887.5+4887.5+4887.5+4887.5+4025+4887.5+4887.5+16836</f>
        <v>69736</v>
      </c>
      <c r="U18" s="82">
        <f>33541.67+4922.42+11934</f>
        <v>50398.09</v>
      </c>
      <c r="V18" s="82">
        <f t="shared" si="3"/>
        <v>19337.910000000003</v>
      </c>
      <c r="W18" s="115"/>
      <c r="X18" s="82">
        <f>32269+7820+7820+8809+7820</f>
        <v>64538</v>
      </c>
      <c r="Y18" s="82">
        <f>33541.67+4922.42+13430</f>
        <v>51894.09</v>
      </c>
      <c r="Z18" s="82">
        <f t="shared" si="4"/>
        <v>12643.910000000003</v>
      </c>
      <c r="AA18" s="115"/>
      <c r="AB18" s="82">
        <v>60260</v>
      </c>
      <c r="AC18" s="82">
        <f>33541.67+4922.42+13753</f>
        <v>52217.09</v>
      </c>
      <c r="AD18" s="82">
        <f t="shared" si="5"/>
        <v>8042.9100000000035</v>
      </c>
      <c r="AE18" s="115"/>
      <c r="AF18" s="82">
        <f>28175+9775+8625+9775+4887.5+4887.5+5175+4887.5</f>
        <v>76187.5</v>
      </c>
      <c r="AG18" s="82">
        <f>33541.67+4922.42+14212</f>
        <v>52676.09</v>
      </c>
      <c r="AH18" s="82">
        <f t="shared" si="6"/>
        <v>23511.410000000003</v>
      </c>
      <c r="AI18" s="115"/>
      <c r="AJ18" s="82">
        <f>72392.5</f>
        <v>72392.5</v>
      </c>
      <c r="AK18" s="82">
        <f>33541.67+4922.42+14620</f>
        <v>53084.09</v>
      </c>
      <c r="AL18" s="82">
        <v>19308.410000000003</v>
      </c>
      <c r="AM18" s="115"/>
      <c r="AN18" s="82"/>
      <c r="AO18" s="82">
        <f>33541.67+4922.42</f>
        <v>38464.089999999997</v>
      </c>
      <c r="AP18" s="82"/>
      <c r="AQ18" s="115"/>
      <c r="AR18" s="82"/>
      <c r="AS18" s="82">
        <f>33541.67+4922.42</f>
        <v>38464.089999999997</v>
      </c>
      <c r="AT18" s="82"/>
      <c r="AU18" s="115"/>
      <c r="AV18" s="82"/>
      <c r="AW18" s="82">
        <f>33541.67+4922.42</f>
        <v>38464.089999999997</v>
      </c>
      <c r="AX18" s="134"/>
      <c r="AY18" s="115"/>
      <c r="AZ18" s="135"/>
      <c r="BA18" s="82">
        <f>33541.67+4922.42</f>
        <v>38464.089999999997</v>
      </c>
      <c r="BB18" s="125"/>
    </row>
    <row r="19" spans="1:277" ht="15.6" x14ac:dyDescent="0.3">
      <c r="B19" s="80" t="s">
        <v>117</v>
      </c>
      <c r="C19" s="81" t="s">
        <v>28</v>
      </c>
      <c r="D19" s="81">
        <v>17500</v>
      </c>
      <c r="E19" s="81">
        <v>2625</v>
      </c>
      <c r="F19" s="82">
        <v>20125</v>
      </c>
      <c r="G19" s="115"/>
      <c r="H19" s="82">
        <f>(11310)*1.15</f>
        <v>13006.499999999998</v>
      </c>
      <c r="I19" s="82">
        <f>20125+4729.85+5620.2</f>
        <v>30475.05</v>
      </c>
      <c r="J19" s="82">
        <f t="shared" si="0"/>
        <v>-17468.550000000003</v>
      </c>
      <c r="K19" s="131"/>
      <c r="L19" s="82">
        <f>41600*1.15</f>
        <v>47839.999999999993</v>
      </c>
      <c r="M19" s="82">
        <f>20125+4729.85+12726.2</f>
        <v>37581.050000000003</v>
      </c>
      <c r="N19" s="82">
        <f t="shared" si="1"/>
        <v>10258.94999999999</v>
      </c>
      <c r="O19" s="115"/>
      <c r="P19" s="82">
        <f>47710*1.15</f>
        <v>54866.499999999993</v>
      </c>
      <c r="Q19" s="82">
        <f>20125+4729.85+11078.9</f>
        <v>35933.75</v>
      </c>
      <c r="R19" s="82">
        <f t="shared" si="2"/>
        <v>18932.749999999993</v>
      </c>
      <c r="S19" s="115"/>
      <c r="T19" s="82">
        <f>44401.5</f>
        <v>44401.5</v>
      </c>
      <c r="U19" s="82">
        <f>20125+4729.85+11046.6</f>
        <v>35901.449999999997</v>
      </c>
      <c r="V19" s="82">
        <f t="shared" si="3"/>
        <v>8500.0500000000029</v>
      </c>
      <c r="W19" s="115"/>
      <c r="X19" s="82">
        <f>44102.5</f>
        <v>44102.5</v>
      </c>
      <c r="Y19" s="82">
        <f>20125+4729.85+11078.9</f>
        <v>35933.75</v>
      </c>
      <c r="Z19" s="82">
        <f t="shared" si="4"/>
        <v>8168.75</v>
      </c>
      <c r="AA19" s="115"/>
      <c r="AB19" s="82">
        <f>47840</f>
        <v>47840</v>
      </c>
      <c r="AC19" s="82">
        <f>20125+4729.85+11563.4</f>
        <v>36418.25</v>
      </c>
      <c r="AD19" s="82">
        <f t="shared" si="5"/>
        <v>11421.75</v>
      </c>
      <c r="AE19" s="115"/>
      <c r="AF19" s="82">
        <f>34684</f>
        <v>34684</v>
      </c>
      <c r="AG19" s="82">
        <f>20125+4729.85+10336</f>
        <v>35190.85</v>
      </c>
      <c r="AH19" s="82">
        <f t="shared" si="6"/>
        <v>-506.84999999999854</v>
      </c>
      <c r="AI19" s="115"/>
      <c r="AJ19" s="82"/>
      <c r="AK19" s="82">
        <f>20125+4729.85+11337.3</f>
        <v>36192.149999999994</v>
      </c>
      <c r="AL19" s="82">
        <v>-36192.149999999994</v>
      </c>
      <c r="AM19" s="115"/>
      <c r="AN19" s="82"/>
      <c r="AO19" s="82">
        <f>20125+4729.85</f>
        <v>24854.85</v>
      </c>
      <c r="AP19" s="82"/>
      <c r="AQ19" s="115"/>
      <c r="AR19" s="82"/>
      <c r="AS19" s="82">
        <f>20125+4729.85</f>
        <v>24854.85</v>
      </c>
      <c r="AT19" s="82"/>
      <c r="AU19" s="115"/>
      <c r="AV19" s="82"/>
      <c r="AW19" s="82">
        <f>20125+4729.85</f>
        <v>24854.85</v>
      </c>
      <c r="AX19" s="134"/>
      <c r="AY19" s="115"/>
      <c r="AZ19" s="135"/>
      <c r="BA19" s="82">
        <f>20125+4729.85</f>
        <v>24854.85</v>
      </c>
      <c r="BB19" s="125"/>
    </row>
    <row r="20" spans="1:277" ht="15.6" x14ac:dyDescent="0.3">
      <c r="B20" s="80" t="s">
        <v>117</v>
      </c>
      <c r="C20" s="81" t="s">
        <v>29</v>
      </c>
      <c r="D20" s="81">
        <v>37916.666666666664</v>
      </c>
      <c r="E20" s="81">
        <v>5687.4999999999927</v>
      </c>
      <c r="F20" s="82">
        <v>43604.166666666657</v>
      </c>
      <c r="G20" s="115"/>
      <c r="H20" s="82">
        <f>(4290+11310+11310+7020)*1.15</f>
        <v>39019.5</v>
      </c>
      <c r="I20" s="82">
        <f>43604.17+4729.85+5587.9</f>
        <v>53921.919999999998</v>
      </c>
      <c r="J20" s="82">
        <f t="shared" si="0"/>
        <v>-14902.419999999998</v>
      </c>
      <c r="K20" s="131"/>
      <c r="L20" s="82">
        <f>41730*1.15</f>
        <v>47989.499999999993</v>
      </c>
      <c r="M20" s="82">
        <f>43604.17+4729.85+12661.6</f>
        <v>60995.619999999995</v>
      </c>
      <c r="N20" s="82">
        <f t="shared" si="1"/>
        <v>-13006.120000000003</v>
      </c>
      <c r="O20" s="115"/>
      <c r="P20" s="82">
        <f>47580*1.15</f>
        <v>54716.999999999993</v>
      </c>
      <c r="Q20" s="82">
        <f>43604.17+4729.85+10368.3</f>
        <v>58702.319999999992</v>
      </c>
      <c r="R20" s="82">
        <f t="shared" si="2"/>
        <v>-3985.3199999999997</v>
      </c>
      <c r="S20" s="115"/>
      <c r="T20" s="82">
        <f>42159</f>
        <v>42159</v>
      </c>
      <c r="U20" s="82">
        <f>43604.17+4729.85+10077.6</f>
        <v>58411.619999999995</v>
      </c>
      <c r="V20" s="82">
        <f t="shared" si="3"/>
        <v>-16252.619999999995</v>
      </c>
      <c r="W20" s="115"/>
      <c r="X20" s="82">
        <f>44401.5</f>
        <v>44401.5</v>
      </c>
      <c r="Y20" s="82">
        <f>43604.17+4729.85+12274</f>
        <v>60608.02</v>
      </c>
      <c r="Z20" s="82">
        <f t="shared" si="4"/>
        <v>-16206.519999999997</v>
      </c>
      <c r="AA20" s="115"/>
      <c r="AB20" s="82">
        <f>55016</f>
        <v>55016</v>
      </c>
      <c r="AC20" s="82">
        <f>43604.17+4729.85+14292.75</f>
        <v>62626.77</v>
      </c>
      <c r="AD20" s="82">
        <f t="shared" si="5"/>
        <v>-7610.7699999999968</v>
      </c>
      <c r="AE20" s="115"/>
      <c r="AF20" s="82">
        <f>43953+17641</f>
        <v>61594</v>
      </c>
      <c r="AG20" s="82">
        <f>43604.17+4729.85+11660.3</f>
        <v>59994.319999999992</v>
      </c>
      <c r="AH20" s="82">
        <f t="shared" si="6"/>
        <v>1599.6800000000076</v>
      </c>
      <c r="AI20" s="115"/>
      <c r="AJ20" s="82">
        <v>50082.5</v>
      </c>
      <c r="AK20" s="82">
        <f>43604.17+4729.85+12952.3</f>
        <v>61286.319999999992</v>
      </c>
      <c r="AL20" s="82">
        <v>-11203.819999999992</v>
      </c>
      <c r="AM20" s="115"/>
      <c r="AN20" s="82"/>
      <c r="AO20" s="82">
        <f>43604.17+4729.85</f>
        <v>48334.02</v>
      </c>
      <c r="AP20" s="82"/>
      <c r="AQ20" s="115"/>
      <c r="AR20" s="82"/>
      <c r="AS20" s="82">
        <f>43604.17+4729.85</f>
        <v>48334.02</v>
      </c>
      <c r="AT20" s="82"/>
      <c r="AU20" s="115"/>
      <c r="AV20" s="82"/>
      <c r="AW20" s="82">
        <f>43604.17+4729.85</f>
        <v>48334.02</v>
      </c>
      <c r="AX20" s="134"/>
      <c r="AY20" s="115"/>
      <c r="AZ20" s="135"/>
      <c r="BA20" s="82">
        <f>43604.17+4729.85</f>
        <v>48334.02</v>
      </c>
      <c r="BB20" s="125"/>
    </row>
    <row r="21" spans="1:277" ht="15.6" x14ac:dyDescent="0.3">
      <c r="B21" s="80" t="s">
        <v>30</v>
      </c>
      <c r="C21" s="81" t="s">
        <v>31</v>
      </c>
      <c r="D21" s="81">
        <v>5833.333333333333</v>
      </c>
      <c r="E21" s="81">
        <v>874.99999999999909</v>
      </c>
      <c r="F21" s="82">
        <v>6708.3333333333321</v>
      </c>
      <c r="G21" s="115"/>
      <c r="H21" s="82">
        <f>(23805)*1.15</f>
        <v>27375.749999999996</v>
      </c>
      <c r="I21" s="82">
        <f>6708.33+1137.83+5620.2</f>
        <v>13466.36</v>
      </c>
      <c r="J21" s="82">
        <f t="shared" si="0"/>
        <v>13909.389999999996</v>
      </c>
      <c r="K21" s="131"/>
      <c r="L21" s="82">
        <f>39445*1.15</f>
        <v>45361.75</v>
      </c>
      <c r="M21" s="82">
        <f>6708.33+1137.83+12726.2</f>
        <v>20572.36</v>
      </c>
      <c r="N21" s="82">
        <f t="shared" si="1"/>
        <v>24789.39</v>
      </c>
      <c r="O21" s="115"/>
      <c r="P21" s="82">
        <f>48070*1.15</f>
        <v>55280.499999999993</v>
      </c>
      <c r="Q21" s="82">
        <f>6708.33+1137.83+11078.9</f>
        <v>18925.059999999998</v>
      </c>
      <c r="R21" s="82">
        <f t="shared" si="2"/>
        <v>36355.439999999995</v>
      </c>
      <c r="S21" s="115"/>
      <c r="T21" s="82">
        <f>15076.5+28566</f>
        <v>43642.5</v>
      </c>
      <c r="U21" s="82">
        <f>6708.33+1137.83+13016.9</f>
        <v>20863.059999999998</v>
      </c>
      <c r="V21" s="82">
        <f t="shared" si="3"/>
        <v>22779.440000000002</v>
      </c>
      <c r="W21" s="115"/>
      <c r="X21" s="82">
        <f>41262</f>
        <v>41262</v>
      </c>
      <c r="Y21" s="82">
        <f>6708.33+1137.83+11821.8</f>
        <v>19667.96</v>
      </c>
      <c r="Z21" s="82">
        <f t="shared" si="4"/>
        <v>21594.04</v>
      </c>
      <c r="AA21" s="115"/>
      <c r="AB21" s="82">
        <f>40600.75</f>
        <v>40600.75</v>
      </c>
      <c r="AC21" s="82">
        <f>6708.33+1137.83+12435.5</f>
        <v>20281.66</v>
      </c>
      <c r="AD21" s="82">
        <f t="shared" si="5"/>
        <v>20319.09</v>
      </c>
      <c r="AE21" s="115"/>
      <c r="AF21" s="82">
        <f>56867.5</f>
        <v>56867.5</v>
      </c>
      <c r="AG21" s="82">
        <f>6708.33+1137.83+11660.3</f>
        <v>19506.46</v>
      </c>
      <c r="AH21" s="82">
        <f t="shared" si="6"/>
        <v>37361.040000000001</v>
      </c>
      <c r="AI21" s="115"/>
      <c r="AJ21" s="82">
        <f>41791</f>
        <v>41791</v>
      </c>
      <c r="AK21" s="82">
        <f>6708.33+1137.83+12823.1</f>
        <v>20669.260000000002</v>
      </c>
      <c r="AL21" s="82">
        <v>21121.739999999998</v>
      </c>
      <c r="AM21" s="115"/>
      <c r="AN21" s="82"/>
      <c r="AO21" s="82">
        <f>6708.33+1137.83</f>
        <v>7846.16</v>
      </c>
      <c r="AP21" s="82"/>
      <c r="AQ21" s="115"/>
      <c r="AR21" s="82"/>
      <c r="AS21" s="82">
        <f>6708.33+1137.83</f>
        <v>7846.16</v>
      </c>
      <c r="AT21" s="82"/>
      <c r="AU21" s="115"/>
      <c r="AV21" s="82"/>
      <c r="AW21" s="82">
        <f>6708.33+1137.83</f>
        <v>7846.16</v>
      </c>
      <c r="AX21" s="134"/>
      <c r="AY21" s="115"/>
      <c r="AZ21" s="135"/>
      <c r="BA21" s="82">
        <f>6708.33+1137.83</f>
        <v>7846.16</v>
      </c>
      <c r="BB21" s="125"/>
    </row>
    <row r="22" spans="1:277" s="144" customFormat="1" ht="15.6" x14ac:dyDescent="0.3">
      <c r="A22"/>
      <c r="B22" s="84" t="s">
        <v>30</v>
      </c>
      <c r="C22" s="81" t="s">
        <v>60</v>
      </c>
      <c r="D22" s="83"/>
      <c r="E22" s="83"/>
      <c r="F22" s="81"/>
      <c r="G22" s="116"/>
      <c r="H22" s="82"/>
      <c r="I22" s="82">
        <f>3318.14+5620.2</f>
        <v>8938.34</v>
      </c>
      <c r="J22" s="82">
        <f t="shared" si="0"/>
        <v>-8938.34</v>
      </c>
      <c r="K22" s="131"/>
      <c r="L22" s="82">
        <f>13340*1.15</f>
        <v>15340.999999999998</v>
      </c>
      <c r="M22" s="82">
        <f>3318.14+12726.2</f>
        <v>16044.34</v>
      </c>
      <c r="N22" s="82">
        <f t="shared" si="1"/>
        <v>-703.34000000000196</v>
      </c>
      <c r="O22" s="115"/>
      <c r="P22" s="82">
        <f>(35765+5750)*1.15</f>
        <v>47742.249999999993</v>
      </c>
      <c r="Q22" s="82">
        <f>3318.14+10949.7</f>
        <v>14267.84</v>
      </c>
      <c r="R22" s="82">
        <f t="shared" si="2"/>
        <v>33474.409999999989</v>
      </c>
      <c r="S22" s="115"/>
      <c r="T22" s="82">
        <f>33723.75</f>
        <v>33723.75</v>
      </c>
      <c r="U22" s="82">
        <f>3318.14+10368.3</f>
        <v>13686.439999999999</v>
      </c>
      <c r="V22" s="82">
        <f t="shared" si="3"/>
        <v>20037.310000000001</v>
      </c>
      <c r="W22" s="115"/>
      <c r="X22" s="82">
        <f>47874.5</f>
        <v>47874.5</v>
      </c>
      <c r="Y22" s="82">
        <f>3318.14+13905.15</f>
        <v>17223.29</v>
      </c>
      <c r="Z22" s="82">
        <f t="shared" si="4"/>
        <v>30651.21</v>
      </c>
      <c r="AA22" s="115"/>
      <c r="AB22" s="82">
        <f>40733</f>
        <v>40733</v>
      </c>
      <c r="AC22" s="82">
        <f>3318.14+15100.25</f>
        <v>18418.39</v>
      </c>
      <c r="AD22" s="82">
        <f t="shared" si="5"/>
        <v>22314.61</v>
      </c>
      <c r="AE22" s="115"/>
      <c r="AF22" s="82">
        <f>60702.75</f>
        <v>60702.75</v>
      </c>
      <c r="AG22" s="82">
        <f>3318.14+12532.4</f>
        <v>15850.539999999999</v>
      </c>
      <c r="AH22" s="82">
        <f t="shared" si="6"/>
        <v>44852.21</v>
      </c>
      <c r="AI22" s="115"/>
      <c r="AJ22" s="82">
        <f>39807.25</f>
        <v>39807.25</v>
      </c>
      <c r="AK22" s="82">
        <f>3318.14+12823.1</f>
        <v>16141.24</v>
      </c>
      <c r="AL22" s="82">
        <v>23666.010000000002</v>
      </c>
      <c r="AM22" s="115"/>
      <c r="AN22" s="82"/>
      <c r="AO22" s="82">
        <f>3318.14</f>
        <v>3318.14</v>
      </c>
      <c r="AP22" s="82"/>
      <c r="AQ22" s="115"/>
      <c r="AR22" s="82"/>
      <c r="AS22" s="82">
        <f>3318.14</f>
        <v>3318.14</v>
      </c>
      <c r="AT22" s="82"/>
      <c r="AU22" s="115"/>
      <c r="AV22" s="82"/>
      <c r="AW22" s="82">
        <f>3318.14</f>
        <v>3318.14</v>
      </c>
      <c r="AX22" s="134"/>
      <c r="AY22" s="115"/>
      <c r="AZ22" s="135"/>
      <c r="BA22" s="82">
        <f>3318.14</f>
        <v>3318.14</v>
      </c>
      <c r="BB22" s="125"/>
      <c r="BC22" s="149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 s="144" t="s">
        <v>98</v>
      </c>
    </row>
    <row r="23" spans="1:277" ht="15.6" x14ac:dyDescent="0.3">
      <c r="A23" s="148"/>
      <c r="B23" s="145" t="s">
        <v>118</v>
      </c>
      <c r="C23" s="137" t="s">
        <v>58</v>
      </c>
      <c r="D23" s="146"/>
      <c r="E23" s="146"/>
      <c r="F23" s="137">
        <v>2871.09</v>
      </c>
      <c r="G23" s="147"/>
      <c r="H23" s="138"/>
      <c r="I23" s="138">
        <f>2871.09+6548.08</f>
        <v>9419.17</v>
      </c>
      <c r="J23" s="82">
        <f t="shared" si="0"/>
        <v>-9419.17</v>
      </c>
      <c r="K23" s="140"/>
      <c r="L23" s="138"/>
      <c r="M23" s="138">
        <f>2871.09+15291.26</f>
        <v>18162.349999999999</v>
      </c>
      <c r="N23" s="82">
        <f t="shared" si="1"/>
        <v>-18162.349999999999</v>
      </c>
      <c r="O23" s="139"/>
      <c r="P23" s="138"/>
      <c r="Q23" s="138">
        <f>2871.09+13468.21</f>
        <v>16339.3</v>
      </c>
      <c r="R23" s="82">
        <f t="shared" si="2"/>
        <v>-16339.3</v>
      </c>
      <c r="S23" s="139"/>
      <c r="T23" s="138"/>
      <c r="U23" s="138">
        <f>2871.09+13282.19</f>
        <v>16153.28</v>
      </c>
      <c r="V23" s="82">
        <f t="shared" si="3"/>
        <v>-16153.28</v>
      </c>
      <c r="W23" s="139"/>
      <c r="X23" s="138"/>
      <c r="Y23" s="138">
        <f>2871.09+14286.72</f>
        <v>17157.809999999998</v>
      </c>
      <c r="Z23" s="82">
        <f t="shared" si="4"/>
        <v>-17157.809999999998</v>
      </c>
      <c r="AA23" s="139"/>
      <c r="AB23" s="138"/>
      <c r="AC23" s="138">
        <f>2871.09+16333</f>
        <v>19204.09</v>
      </c>
      <c r="AD23" s="82">
        <f t="shared" si="5"/>
        <v>-19204.09</v>
      </c>
      <c r="AE23" s="139"/>
      <c r="AF23" s="138"/>
      <c r="AG23" s="138">
        <f>2871.09+14937.81</f>
        <v>17808.900000000001</v>
      </c>
      <c r="AH23" s="82">
        <f t="shared" si="6"/>
        <v>-17808.900000000001</v>
      </c>
      <c r="AI23" s="139"/>
      <c r="AJ23" s="138"/>
      <c r="AK23" s="138">
        <f>2871.09+15365.67</f>
        <v>18236.760000000002</v>
      </c>
      <c r="AL23" s="138">
        <v>-18236.760000000002</v>
      </c>
      <c r="AM23" s="139"/>
      <c r="AN23" s="138"/>
      <c r="AO23" s="138">
        <f>2871.09</f>
        <v>2871.09</v>
      </c>
      <c r="AP23" s="138"/>
      <c r="AQ23" s="139"/>
      <c r="AR23" s="138"/>
      <c r="AS23" s="138">
        <f>2871.09</f>
        <v>2871.09</v>
      </c>
      <c r="AT23" s="138"/>
      <c r="AU23" s="139"/>
      <c r="AV23" s="138"/>
      <c r="AW23" s="138">
        <f>2871.09</f>
        <v>2871.09</v>
      </c>
      <c r="AX23" s="141"/>
      <c r="AY23" s="139"/>
      <c r="AZ23" s="142"/>
      <c r="BA23" s="138">
        <f>2871.09</f>
        <v>2871.09</v>
      </c>
      <c r="BB23" s="143"/>
    </row>
    <row r="24" spans="1:277" ht="15.6" x14ac:dyDescent="0.3">
      <c r="B24" s="136" t="s">
        <v>36</v>
      </c>
      <c r="C24" s="137" t="s">
        <v>37</v>
      </c>
      <c r="D24" s="137">
        <v>17500</v>
      </c>
      <c r="E24" s="137">
        <v>2625</v>
      </c>
      <c r="F24" s="138">
        <v>20125</v>
      </c>
      <c r="G24" s="139"/>
      <c r="H24" s="138"/>
      <c r="I24" s="138">
        <v>20125</v>
      </c>
      <c r="J24" s="82">
        <f t="shared" si="0"/>
        <v>-20125</v>
      </c>
      <c r="K24" s="140"/>
      <c r="L24" s="138"/>
      <c r="M24" s="138">
        <v>20125</v>
      </c>
      <c r="N24" s="82">
        <f t="shared" si="1"/>
        <v>-20125</v>
      </c>
      <c r="O24" s="139"/>
      <c r="P24" s="138"/>
      <c r="Q24" s="138">
        <v>20125</v>
      </c>
      <c r="R24" s="82">
        <f t="shared" si="2"/>
        <v>-20125</v>
      </c>
      <c r="S24" s="139"/>
      <c r="T24" s="138"/>
      <c r="U24" s="138">
        <v>20125</v>
      </c>
      <c r="V24" s="82">
        <f t="shared" si="3"/>
        <v>-20125</v>
      </c>
      <c r="W24" s="139"/>
      <c r="X24" s="138"/>
      <c r="Y24" s="138">
        <v>20125</v>
      </c>
      <c r="Z24" s="82">
        <f t="shared" si="4"/>
        <v>-20125</v>
      </c>
      <c r="AA24" s="139"/>
      <c r="AB24" s="138"/>
      <c r="AC24" s="138">
        <v>20125</v>
      </c>
      <c r="AD24" s="82">
        <f t="shared" si="5"/>
        <v>-20125</v>
      </c>
      <c r="AE24" s="139"/>
      <c r="AF24" s="138"/>
      <c r="AG24" s="138">
        <v>20125</v>
      </c>
      <c r="AH24" s="82">
        <f t="shared" si="6"/>
        <v>-20125</v>
      </c>
      <c r="AI24" s="139"/>
      <c r="AJ24" s="138"/>
      <c r="AK24" s="138">
        <v>20125</v>
      </c>
      <c r="AL24" s="138">
        <v>-20125</v>
      </c>
      <c r="AM24" s="139"/>
      <c r="AN24" s="138"/>
      <c r="AO24" s="138">
        <v>20125</v>
      </c>
      <c r="AP24" s="138"/>
      <c r="AQ24" s="139"/>
      <c r="AR24" s="138"/>
      <c r="AS24" s="138">
        <v>20125</v>
      </c>
      <c r="AT24" s="138"/>
      <c r="AU24" s="139"/>
      <c r="AV24" s="138"/>
      <c r="AW24" s="138">
        <v>20125</v>
      </c>
      <c r="AX24" s="141"/>
      <c r="AY24" s="139"/>
      <c r="AZ24" s="142"/>
      <c r="BA24" s="138">
        <v>20125</v>
      </c>
      <c r="BB24" s="143"/>
    </row>
    <row r="25" spans="1:277" ht="15.6" x14ac:dyDescent="0.3">
      <c r="B25" s="80" t="s">
        <v>42</v>
      </c>
      <c r="C25" s="81"/>
      <c r="D25" s="81">
        <v>1458.3333333333333</v>
      </c>
      <c r="E25" s="81">
        <v>218.74999999999977</v>
      </c>
      <c r="F25" s="82">
        <v>1677.083333333333</v>
      </c>
      <c r="G25" s="115"/>
      <c r="H25" s="82"/>
      <c r="I25" s="82">
        <v>1677.083333333333</v>
      </c>
      <c r="J25" s="82">
        <f t="shared" si="0"/>
        <v>-1677.083333333333</v>
      </c>
      <c r="K25" s="131"/>
      <c r="L25" s="82"/>
      <c r="M25" s="82">
        <v>1677.083333333333</v>
      </c>
      <c r="N25" s="82">
        <f t="shared" si="1"/>
        <v>-1677.083333333333</v>
      </c>
      <c r="O25" s="115"/>
      <c r="P25" s="82"/>
      <c r="Q25" s="82">
        <v>1677.083333333333</v>
      </c>
      <c r="R25" s="82">
        <f t="shared" si="2"/>
        <v>-1677.083333333333</v>
      </c>
      <c r="S25" s="115"/>
      <c r="T25" s="82"/>
      <c r="U25" s="82">
        <v>1677.083333333333</v>
      </c>
      <c r="V25" s="82">
        <f t="shared" si="3"/>
        <v>-1677.083333333333</v>
      </c>
      <c r="W25" s="115"/>
      <c r="X25" s="82"/>
      <c r="Y25" s="82">
        <v>1677.083333333333</v>
      </c>
      <c r="Z25" s="82">
        <f t="shared" si="4"/>
        <v>-1677.083333333333</v>
      </c>
      <c r="AA25" s="115"/>
      <c r="AB25" s="82"/>
      <c r="AC25" s="82">
        <v>1677.083333333333</v>
      </c>
      <c r="AD25" s="82">
        <f t="shared" si="5"/>
        <v>-1677.083333333333</v>
      </c>
      <c r="AE25" s="115"/>
      <c r="AF25" s="82"/>
      <c r="AG25" s="82">
        <v>1677.083333333333</v>
      </c>
      <c r="AH25" s="82">
        <f t="shared" si="6"/>
        <v>-1677.083333333333</v>
      </c>
      <c r="AI25" s="115"/>
      <c r="AJ25" s="82"/>
      <c r="AK25" s="82">
        <v>1677.083333333333</v>
      </c>
      <c r="AL25" s="82">
        <v>-1677.083333333333</v>
      </c>
      <c r="AM25" s="115"/>
      <c r="AN25" s="82"/>
      <c r="AO25" s="82">
        <v>1677.083333333333</v>
      </c>
      <c r="AP25" s="82"/>
      <c r="AQ25" s="115"/>
      <c r="AR25" s="82"/>
      <c r="AS25" s="82">
        <v>1677.083333333333</v>
      </c>
      <c r="AT25" s="82"/>
      <c r="AU25" s="115"/>
      <c r="AV25" s="82"/>
      <c r="AW25" s="82">
        <v>1677.083333333333</v>
      </c>
      <c r="AX25" s="134"/>
      <c r="AY25" s="115"/>
      <c r="AZ25" s="135"/>
      <c r="BA25" s="82">
        <v>1677.083333333333</v>
      </c>
      <c r="BB25" s="125"/>
    </row>
    <row r="26" spans="1:277" ht="15.6" x14ac:dyDescent="0.3">
      <c r="B26" s="80" t="s">
        <v>44</v>
      </c>
      <c r="C26" s="81"/>
      <c r="D26" s="81">
        <v>554.16666666666663</v>
      </c>
      <c r="E26" s="81">
        <v>83.125</v>
      </c>
      <c r="F26" s="82">
        <v>637.29166666666663</v>
      </c>
      <c r="G26" s="115"/>
      <c r="H26" s="82"/>
      <c r="I26" s="82">
        <v>637.29166666666663</v>
      </c>
      <c r="J26" s="82">
        <f t="shared" si="0"/>
        <v>-637.29166666666663</v>
      </c>
      <c r="K26" s="131"/>
      <c r="L26" s="82"/>
      <c r="M26" s="82">
        <v>637.29166666666663</v>
      </c>
      <c r="N26" s="82">
        <f t="shared" si="1"/>
        <v>-637.29166666666663</v>
      </c>
      <c r="O26" s="115"/>
      <c r="P26" s="82"/>
      <c r="Q26" s="82">
        <v>637.29166666666663</v>
      </c>
      <c r="R26" s="82">
        <f t="shared" si="2"/>
        <v>-637.29166666666663</v>
      </c>
      <c r="S26" s="115"/>
      <c r="T26" s="82"/>
      <c r="U26" s="82">
        <v>637.29166666666663</v>
      </c>
      <c r="V26" s="82">
        <f t="shared" si="3"/>
        <v>-637.29166666666663</v>
      </c>
      <c r="W26" s="115"/>
      <c r="X26" s="82"/>
      <c r="Y26" s="82">
        <v>637.29166666666663</v>
      </c>
      <c r="Z26" s="82">
        <f t="shared" si="4"/>
        <v>-637.29166666666663</v>
      </c>
      <c r="AA26" s="115"/>
      <c r="AB26" s="82"/>
      <c r="AC26" s="82">
        <v>637.29166666666663</v>
      </c>
      <c r="AD26" s="82">
        <f t="shared" si="5"/>
        <v>-637.29166666666663</v>
      </c>
      <c r="AE26" s="115"/>
      <c r="AF26" s="82"/>
      <c r="AG26" s="82">
        <v>637.29166666666663</v>
      </c>
      <c r="AH26" s="82">
        <f t="shared" si="6"/>
        <v>-637.29166666666663</v>
      </c>
      <c r="AI26" s="115"/>
      <c r="AJ26" s="82"/>
      <c r="AK26" s="82">
        <v>637.29166666666663</v>
      </c>
      <c r="AL26" s="82">
        <v>-637.29166666666663</v>
      </c>
      <c r="AM26" s="115"/>
      <c r="AN26" s="82"/>
      <c r="AO26" s="82">
        <v>637.29166666666663</v>
      </c>
      <c r="AP26" s="82"/>
      <c r="AQ26" s="115"/>
      <c r="AR26" s="82"/>
      <c r="AS26" s="82">
        <v>637.29166666666663</v>
      </c>
      <c r="AT26" s="82"/>
      <c r="AU26" s="115"/>
      <c r="AV26" s="82"/>
      <c r="AW26" s="82">
        <v>637.29166666666663</v>
      </c>
      <c r="AX26" s="134"/>
      <c r="AY26" s="115"/>
      <c r="AZ26" s="135"/>
      <c r="BA26" s="82">
        <v>637.29166666666663</v>
      </c>
      <c r="BB26" s="125"/>
    </row>
    <row r="27" spans="1:277" ht="15.6" x14ac:dyDescent="0.3">
      <c r="B27" s="80" t="s">
        <v>45</v>
      </c>
      <c r="C27" s="81"/>
      <c r="D27" s="81">
        <v>455</v>
      </c>
      <c r="E27" s="81">
        <v>68.25</v>
      </c>
      <c r="F27" s="82">
        <v>523.25</v>
      </c>
      <c r="G27" s="115"/>
      <c r="H27" s="82"/>
      <c r="I27" s="82">
        <v>523.25</v>
      </c>
      <c r="J27" s="82">
        <f t="shared" si="0"/>
        <v>-523.25</v>
      </c>
      <c r="K27" s="131"/>
      <c r="L27" s="82"/>
      <c r="M27" s="82">
        <v>523.25</v>
      </c>
      <c r="N27" s="82">
        <f t="shared" si="1"/>
        <v>-523.25</v>
      </c>
      <c r="O27" s="115"/>
      <c r="P27" s="82"/>
      <c r="Q27" s="82">
        <v>523.25</v>
      </c>
      <c r="R27" s="82">
        <f t="shared" si="2"/>
        <v>-523.25</v>
      </c>
      <c r="S27" s="115"/>
      <c r="T27" s="82"/>
      <c r="U27" s="82">
        <v>523.25</v>
      </c>
      <c r="V27" s="82">
        <f t="shared" si="3"/>
        <v>-523.25</v>
      </c>
      <c r="W27" s="115"/>
      <c r="X27" s="82"/>
      <c r="Y27" s="82">
        <v>523.25</v>
      </c>
      <c r="Z27" s="82">
        <f t="shared" si="4"/>
        <v>-523.25</v>
      </c>
      <c r="AA27" s="115"/>
      <c r="AB27" s="82"/>
      <c r="AC27" s="82">
        <v>523.25</v>
      </c>
      <c r="AD27" s="82">
        <f t="shared" si="5"/>
        <v>-523.25</v>
      </c>
      <c r="AE27" s="115"/>
      <c r="AF27" s="82"/>
      <c r="AG27" s="82">
        <v>523.25</v>
      </c>
      <c r="AH27" s="82">
        <f t="shared" si="6"/>
        <v>-523.25</v>
      </c>
      <c r="AI27" s="115"/>
      <c r="AJ27" s="82"/>
      <c r="AK27" s="82">
        <v>523.25</v>
      </c>
      <c r="AL27" s="82">
        <v>-523.25</v>
      </c>
      <c r="AM27" s="115"/>
      <c r="AN27" s="82"/>
      <c r="AO27" s="82">
        <v>523.25</v>
      </c>
      <c r="AP27" s="82"/>
      <c r="AQ27" s="115"/>
      <c r="AR27" s="82"/>
      <c r="AS27" s="82">
        <v>523.25</v>
      </c>
      <c r="AT27" s="82"/>
      <c r="AU27" s="115"/>
      <c r="AV27" s="82"/>
      <c r="AW27" s="82">
        <v>523.25</v>
      </c>
      <c r="AX27" s="134"/>
      <c r="AY27" s="115"/>
      <c r="AZ27" s="135"/>
      <c r="BA27" s="82">
        <v>523.25</v>
      </c>
      <c r="BB27" s="125"/>
    </row>
    <row r="28" spans="1:277" ht="15.6" x14ac:dyDescent="0.3">
      <c r="B28" s="80" t="s">
        <v>46</v>
      </c>
      <c r="C28" s="81"/>
      <c r="D28" s="81">
        <v>1458.3333333333333</v>
      </c>
      <c r="E28" s="81">
        <v>218.74999999999977</v>
      </c>
      <c r="F28" s="82">
        <v>1677.083333333333</v>
      </c>
      <c r="G28" s="115"/>
      <c r="H28" s="82"/>
      <c r="I28" s="82">
        <v>1677.083333333333</v>
      </c>
      <c r="J28" s="82">
        <f t="shared" si="0"/>
        <v>-1677.083333333333</v>
      </c>
      <c r="K28" s="131"/>
      <c r="L28" s="82"/>
      <c r="M28" s="82">
        <v>1677.083333333333</v>
      </c>
      <c r="N28" s="82">
        <f t="shared" si="1"/>
        <v>-1677.083333333333</v>
      </c>
      <c r="O28" s="115"/>
      <c r="P28" s="82"/>
      <c r="Q28" s="82">
        <v>1677.083333333333</v>
      </c>
      <c r="R28" s="82">
        <f t="shared" si="2"/>
        <v>-1677.083333333333</v>
      </c>
      <c r="S28" s="115"/>
      <c r="T28" s="82"/>
      <c r="U28" s="82">
        <v>1677.083333333333</v>
      </c>
      <c r="V28" s="82">
        <f t="shared" si="3"/>
        <v>-1677.083333333333</v>
      </c>
      <c r="W28" s="115"/>
      <c r="X28" s="82"/>
      <c r="Y28" s="82">
        <v>1677.083333333333</v>
      </c>
      <c r="Z28" s="82">
        <f t="shared" si="4"/>
        <v>-1677.083333333333</v>
      </c>
      <c r="AA28" s="115"/>
      <c r="AB28" s="82"/>
      <c r="AC28" s="82">
        <v>1677.083333333333</v>
      </c>
      <c r="AD28" s="82">
        <f t="shared" si="5"/>
        <v>-1677.083333333333</v>
      </c>
      <c r="AE28" s="115"/>
      <c r="AF28" s="82"/>
      <c r="AG28" s="82">
        <v>1677.083333333333</v>
      </c>
      <c r="AH28" s="82">
        <f t="shared" si="6"/>
        <v>-1677.083333333333</v>
      </c>
      <c r="AI28" s="115"/>
      <c r="AJ28" s="82"/>
      <c r="AK28" s="82">
        <v>1677.083333333333</v>
      </c>
      <c r="AL28" s="82">
        <v>-1677.083333333333</v>
      </c>
      <c r="AM28" s="115"/>
      <c r="AN28" s="82"/>
      <c r="AO28" s="82">
        <v>1677.083333333333</v>
      </c>
      <c r="AP28" s="82"/>
      <c r="AQ28" s="115"/>
      <c r="AR28" s="82"/>
      <c r="AS28" s="82">
        <v>1677.083333333333</v>
      </c>
      <c r="AT28" s="82"/>
      <c r="AU28" s="115"/>
      <c r="AV28" s="82"/>
      <c r="AW28" s="82">
        <v>1677.083333333333</v>
      </c>
      <c r="AX28" s="134"/>
      <c r="AY28" s="115"/>
      <c r="AZ28" s="135"/>
      <c r="BA28" s="82">
        <v>1677.083333333333</v>
      </c>
      <c r="BB28" s="125"/>
    </row>
    <row r="29" spans="1:277" ht="15.6" x14ac:dyDescent="0.3">
      <c r="B29" s="80" t="s">
        <v>47</v>
      </c>
      <c r="C29" s="81"/>
      <c r="D29" s="81">
        <v>700</v>
      </c>
      <c r="E29" s="81">
        <v>104.99999999999989</v>
      </c>
      <c r="F29" s="82">
        <v>804.99999999999989</v>
      </c>
      <c r="G29" s="115"/>
      <c r="H29" s="82"/>
      <c r="I29" s="82">
        <v>804.99999999999989</v>
      </c>
      <c r="J29" s="82">
        <f t="shared" si="0"/>
        <v>-804.99999999999989</v>
      </c>
      <c r="K29" s="131"/>
      <c r="L29" s="82"/>
      <c r="M29" s="82">
        <v>804.99999999999989</v>
      </c>
      <c r="N29" s="82">
        <f t="shared" si="1"/>
        <v>-804.99999999999989</v>
      </c>
      <c r="O29" s="115"/>
      <c r="P29" s="82"/>
      <c r="Q29" s="82">
        <v>804.99999999999989</v>
      </c>
      <c r="R29" s="82">
        <f t="shared" si="2"/>
        <v>-804.99999999999989</v>
      </c>
      <c r="S29" s="115"/>
      <c r="T29" s="82"/>
      <c r="U29" s="82">
        <v>804.99999999999989</v>
      </c>
      <c r="V29" s="82">
        <f t="shared" si="3"/>
        <v>-804.99999999999989</v>
      </c>
      <c r="W29" s="115"/>
      <c r="X29" s="82"/>
      <c r="Y29" s="82">
        <v>804.99999999999989</v>
      </c>
      <c r="Z29" s="82">
        <f t="shared" si="4"/>
        <v>-804.99999999999989</v>
      </c>
      <c r="AA29" s="115"/>
      <c r="AB29" s="82"/>
      <c r="AC29" s="82">
        <v>804.99999999999989</v>
      </c>
      <c r="AD29" s="82">
        <f t="shared" si="5"/>
        <v>-804.99999999999989</v>
      </c>
      <c r="AE29" s="115"/>
      <c r="AF29" s="82"/>
      <c r="AG29" s="82">
        <v>804.99999999999989</v>
      </c>
      <c r="AH29" s="82">
        <f t="shared" si="6"/>
        <v>-804.99999999999989</v>
      </c>
      <c r="AI29" s="115"/>
      <c r="AJ29" s="82"/>
      <c r="AK29" s="82">
        <v>804.99999999999989</v>
      </c>
      <c r="AL29" s="82">
        <v>-804.99999999999989</v>
      </c>
      <c r="AM29" s="115"/>
      <c r="AN29" s="82"/>
      <c r="AO29" s="82">
        <v>804.99999999999989</v>
      </c>
      <c r="AP29" s="82"/>
      <c r="AQ29" s="115"/>
      <c r="AR29" s="82"/>
      <c r="AS29" s="82">
        <v>804.99999999999989</v>
      </c>
      <c r="AT29" s="82"/>
      <c r="AU29" s="115"/>
      <c r="AV29" s="82"/>
      <c r="AW29" s="82">
        <v>804.99999999999989</v>
      </c>
      <c r="AX29" s="134"/>
      <c r="AY29" s="115"/>
      <c r="AZ29" s="135"/>
      <c r="BA29" s="82">
        <v>804.99999999999989</v>
      </c>
      <c r="BB29" s="125"/>
    </row>
    <row r="30" spans="1:277" ht="15.6" x14ac:dyDescent="0.3">
      <c r="B30" s="80" t="s">
        <v>48</v>
      </c>
      <c r="C30" s="81" t="s">
        <v>49</v>
      </c>
      <c r="D30" s="81">
        <v>875</v>
      </c>
      <c r="E30" s="81">
        <v>131.24999999999989</v>
      </c>
      <c r="F30" s="82">
        <v>1006.2499999999999</v>
      </c>
      <c r="G30" s="115"/>
      <c r="H30" s="82"/>
      <c r="I30" s="82">
        <v>1006.2499999999999</v>
      </c>
      <c r="J30" s="82">
        <f t="shared" si="0"/>
        <v>-1006.2499999999999</v>
      </c>
      <c r="K30" s="131"/>
      <c r="L30" s="82"/>
      <c r="M30" s="82">
        <v>1006.2499999999999</v>
      </c>
      <c r="N30" s="82">
        <f t="shared" si="1"/>
        <v>-1006.2499999999999</v>
      </c>
      <c r="O30" s="115"/>
      <c r="P30" s="82"/>
      <c r="Q30" s="82">
        <v>1006.2499999999999</v>
      </c>
      <c r="R30" s="82">
        <f t="shared" si="2"/>
        <v>-1006.2499999999999</v>
      </c>
      <c r="S30" s="115"/>
      <c r="T30" s="82"/>
      <c r="U30" s="82">
        <v>1006.2499999999999</v>
      </c>
      <c r="V30" s="82">
        <f t="shared" si="3"/>
        <v>-1006.2499999999999</v>
      </c>
      <c r="W30" s="115"/>
      <c r="X30" s="82"/>
      <c r="Y30" s="82">
        <v>1006.2499999999999</v>
      </c>
      <c r="Z30" s="82">
        <f t="shared" si="4"/>
        <v>-1006.2499999999999</v>
      </c>
      <c r="AA30" s="115"/>
      <c r="AB30" s="82"/>
      <c r="AC30" s="82">
        <v>1006.2499999999999</v>
      </c>
      <c r="AD30" s="82">
        <f t="shared" si="5"/>
        <v>-1006.2499999999999</v>
      </c>
      <c r="AE30" s="115"/>
      <c r="AF30" s="82"/>
      <c r="AG30" s="82">
        <v>1006.2499999999999</v>
      </c>
      <c r="AH30" s="82">
        <f t="shared" si="6"/>
        <v>-1006.2499999999999</v>
      </c>
      <c r="AI30" s="115"/>
      <c r="AJ30" s="82">
        <f>3162.5</f>
        <v>3162.5</v>
      </c>
      <c r="AK30" s="82">
        <v>1006.2499999999999</v>
      </c>
      <c r="AL30" s="82">
        <v>2156.25</v>
      </c>
      <c r="AM30" s="115"/>
      <c r="AN30" s="82"/>
      <c r="AO30" s="82">
        <v>1006.2499999999999</v>
      </c>
      <c r="AP30" s="82"/>
      <c r="AQ30" s="115"/>
      <c r="AR30" s="82"/>
      <c r="AS30" s="82">
        <v>1006.2499999999999</v>
      </c>
      <c r="AT30" s="82"/>
      <c r="AU30" s="115"/>
      <c r="AV30" s="82"/>
      <c r="AW30" s="82">
        <v>1006.2499999999999</v>
      </c>
      <c r="AX30" s="134"/>
      <c r="AY30" s="115"/>
      <c r="AZ30" s="135"/>
      <c r="BA30" s="82">
        <v>1006.2499999999999</v>
      </c>
      <c r="BB30" s="125"/>
    </row>
    <row r="31" spans="1:277" ht="15.6" x14ac:dyDescent="0.3">
      <c r="B31" s="80" t="s">
        <v>50</v>
      </c>
      <c r="C31" s="83"/>
      <c r="D31" s="81">
        <v>3791.6666666666665</v>
      </c>
      <c r="E31" s="81">
        <v>568.74999999999955</v>
      </c>
      <c r="F31" s="82">
        <v>4360.4166666666661</v>
      </c>
      <c r="G31" s="115"/>
      <c r="H31" s="82"/>
      <c r="I31" s="82">
        <v>4360.4166666666661</v>
      </c>
      <c r="J31" s="82">
        <f t="shared" si="0"/>
        <v>-4360.4166666666661</v>
      </c>
      <c r="K31" s="131"/>
      <c r="L31" s="82">
        <f>1500*1.15</f>
        <v>1724.9999999999998</v>
      </c>
      <c r="M31" s="82">
        <v>4360.4166666666661</v>
      </c>
      <c r="N31" s="82">
        <f t="shared" si="1"/>
        <v>-2635.4166666666661</v>
      </c>
      <c r="O31" s="115"/>
      <c r="P31" s="82">
        <f>1725</f>
        <v>1725</v>
      </c>
      <c r="Q31" s="82">
        <v>4360.4166666666661</v>
      </c>
      <c r="R31" s="82">
        <f t="shared" si="2"/>
        <v>-2635.4166666666661</v>
      </c>
      <c r="S31" s="115"/>
      <c r="T31" s="82">
        <f>1725</f>
        <v>1725</v>
      </c>
      <c r="U31" s="82">
        <v>4360.4166666666661</v>
      </c>
      <c r="V31" s="82">
        <f t="shared" si="3"/>
        <v>-2635.4166666666661</v>
      </c>
      <c r="W31" s="115"/>
      <c r="X31" s="82">
        <v>1725</v>
      </c>
      <c r="Y31" s="82">
        <v>4360.4166666666661</v>
      </c>
      <c r="Z31" s="82">
        <f t="shared" si="4"/>
        <v>-2635.4166666666661</v>
      </c>
      <c r="AA31" s="115"/>
      <c r="AB31" s="82">
        <v>1725</v>
      </c>
      <c r="AC31" s="82">
        <v>4360.4166666666661</v>
      </c>
      <c r="AD31" s="82">
        <f t="shared" si="5"/>
        <v>-2635.4166666666661</v>
      </c>
      <c r="AE31" s="115"/>
      <c r="AF31" s="82">
        <v>1725</v>
      </c>
      <c r="AG31" s="82">
        <v>4360.4166666666661</v>
      </c>
      <c r="AH31" s="82">
        <f t="shared" si="6"/>
        <v>-2635.4166666666661</v>
      </c>
      <c r="AI31" s="115"/>
      <c r="AJ31" s="82">
        <v>1725</v>
      </c>
      <c r="AK31" s="82">
        <v>4360.4166666666661</v>
      </c>
      <c r="AL31" s="82">
        <v>-2635.4166666666661</v>
      </c>
      <c r="AM31" s="115"/>
      <c r="AN31" s="82"/>
      <c r="AO31" s="82">
        <v>4360.4166666666661</v>
      </c>
      <c r="AP31" s="82"/>
      <c r="AQ31" s="115"/>
      <c r="AR31" s="82"/>
      <c r="AS31" s="82">
        <v>4360.4166666666661</v>
      </c>
      <c r="AT31" s="82"/>
      <c r="AU31" s="115"/>
      <c r="AV31" s="82"/>
      <c r="AW31" s="82">
        <v>4360.4166666666661</v>
      </c>
      <c r="AX31" s="134"/>
      <c r="AY31" s="115"/>
      <c r="AZ31" s="135"/>
      <c r="BA31" s="82">
        <v>4360.4166666666661</v>
      </c>
      <c r="BB31" s="125"/>
    </row>
    <row r="32" spans="1:277" ht="15.6" x14ac:dyDescent="0.3">
      <c r="B32" s="80" t="s">
        <v>50</v>
      </c>
      <c r="C32" s="81"/>
      <c r="D32" s="81">
        <v>2624.9999999999995</v>
      </c>
      <c r="E32" s="81">
        <v>393.74999999999955</v>
      </c>
      <c r="F32" s="82">
        <v>3018.7499999999991</v>
      </c>
      <c r="G32" s="115"/>
      <c r="H32" s="82"/>
      <c r="I32" s="82">
        <v>3018.7499999999991</v>
      </c>
      <c r="J32" s="82">
        <f t="shared" si="0"/>
        <v>-3018.7499999999991</v>
      </c>
      <c r="K32" s="131"/>
      <c r="L32" s="82">
        <f>1500*1.15</f>
        <v>1724.9999999999998</v>
      </c>
      <c r="M32" s="82">
        <v>3018.7499999999991</v>
      </c>
      <c r="N32" s="82">
        <f t="shared" si="1"/>
        <v>-1293.7499999999993</v>
      </c>
      <c r="O32" s="115"/>
      <c r="P32" s="82">
        <f>1725</f>
        <v>1725</v>
      </c>
      <c r="Q32" s="82">
        <v>3018.7499999999991</v>
      </c>
      <c r="R32" s="82">
        <f t="shared" si="2"/>
        <v>-1293.7499999999991</v>
      </c>
      <c r="S32" s="115"/>
      <c r="T32" s="82">
        <f>1725</f>
        <v>1725</v>
      </c>
      <c r="U32" s="82">
        <v>3018.7499999999991</v>
      </c>
      <c r="V32" s="82">
        <f t="shared" si="3"/>
        <v>-1293.7499999999991</v>
      </c>
      <c r="W32" s="115"/>
      <c r="X32" s="82">
        <v>1725</v>
      </c>
      <c r="Y32" s="82">
        <v>3018.7499999999991</v>
      </c>
      <c r="Z32" s="82">
        <f t="shared" si="4"/>
        <v>-1293.7499999999991</v>
      </c>
      <c r="AA32" s="115"/>
      <c r="AB32" s="82">
        <v>1725</v>
      </c>
      <c r="AC32" s="82">
        <v>3018.7499999999991</v>
      </c>
      <c r="AD32" s="82">
        <f t="shared" si="5"/>
        <v>-1293.7499999999991</v>
      </c>
      <c r="AE32" s="115"/>
      <c r="AF32" s="82">
        <v>1725</v>
      </c>
      <c r="AG32" s="82">
        <v>3018.7499999999991</v>
      </c>
      <c r="AH32" s="82">
        <f t="shared" si="6"/>
        <v>-1293.7499999999991</v>
      </c>
      <c r="AI32" s="115"/>
      <c r="AJ32" s="82">
        <v>1725</v>
      </c>
      <c r="AK32" s="82">
        <v>3018.7499999999991</v>
      </c>
      <c r="AL32" s="82">
        <v>-1293.7499999999991</v>
      </c>
      <c r="AM32" s="115"/>
      <c r="AN32" s="82"/>
      <c r="AO32" s="82">
        <v>3018.7499999999991</v>
      </c>
      <c r="AP32" s="82"/>
      <c r="AQ32" s="115"/>
      <c r="AR32" s="82"/>
      <c r="AS32" s="82">
        <v>3018.7499999999991</v>
      </c>
      <c r="AT32" s="82"/>
      <c r="AU32" s="115"/>
      <c r="AV32" s="82"/>
      <c r="AW32" s="82">
        <v>3018.7499999999991</v>
      </c>
      <c r="AX32" s="134"/>
      <c r="AY32" s="115"/>
      <c r="AZ32" s="135"/>
      <c r="BA32" s="82">
        <v>3018.7499999999991</v>
      </c>
      <c r="BB32" s="125"/>
    </row>
    <row r="33" spans="2:54" ht="15.6" x14ac:dyDescent="0.3">
      <c r="B33" s="84" t="s">
        <v>51</v>
      </c>
      <c r="C33" s="81"/>
      <c r="D33" s="81">
        <v>1633.3333333333333</v>
      </c>
      <c r="E33" s="81">
        <v>244.99999999999977</v>
      </c>
      <c r="F33" s="82">
        <v>1878.333333333333</v>
      </c>
      <c r="G33" s="115"/>
      <c r="H33" s="82"/>
      <c r="I33" s="82">
        <v>1878.333333333333</v>
      </c>
      <c r="J33" s="82">
        <f t="shared" si="0"/>
        <v>-1878.333333333333</v>
      </c>
      <c r="K33" s="131"/>
      <c r="L33" s="82">
        <f t="shared" ref="L33:L39" si="7">1200*1.15</f>
        <v>1380</v>
      </c>
      <c r="M33" s="82">
        <v>1878.333333333333</v>
      </c>
      <c r="N33" s="82">
        <f t="shared" si="1"/>
        <v>-498.33333333333303</v>
      </c>
      <c r="O33" s="115"/>
      <c r="P33" s="82">
        <f>1380</f>
        <v>1380</v>
      </c>
      <c r="Q33" s="82">
        <v>1878.333333333333</v>
      </c>
      <c r="R33" s="82">
        <f t="shared" si="2"/>
        <v>-498.33333333333303</v>
      </c>
      <c r="S33" s="115"/>
      <c r="T33" s="82">
        <f>1380</f>
        <v>1380</v>
      </c>
      <c r="U33" s="82">
        <v>1878.333333333333</v>
      </c>
      <c r="V33" s="82">
        <f t="shared" si="3"/>
        <v>-498.33333333333303</v>
      </c>
      <c r="W33" s="115"/>
      <c r="X33" s="82">
        <f>1380</f>
        <v>1380</v>
      </c>
      <c r="Y33" s="82">
        <v>1878.333333333333</v>
      </c>
      <c r="Z33" s="82">
        <f t="shared" si="4"/>
        <v>-498.33333333333303</v>
      </c>
      <c r="AA33" s="115"/>
      <c r="AB33" s="82">
        <f>1380</f>
        <v>1380</v>
      </c>
      <c r="AC33" s="82">
        <v>1878.333333333333</v>
      </c>
      <c r="AD33" s="82">
        <f t="shared" si="5"/>
        <v>-498.33333333333303</v>
      </c>
      <c r="AE33" s="115"/>
      <c r="AF33" s="82">
        <v>1380</v>
      </c>
      <c r="AG33" s="82">
        <v>1878.333333333333</v>
      </c>
      <c r="AH33" s="82">
        <f t="shared" si="6"/>
        <v>-498.33333333333303</v>
      </c>
      <c r="AI33" s="115"/>
      <c r="AJ33" s="82">
        <v>1380</v>
      </c>
      <c r="AK33" s="82">
        <v>1878.333333333333</v>
      </c>
      <c r="AL33" s="82">
        <v>-498.33333333333303</v>
      </c>
      <c r="AM33" s="115"/>
      <c r="AN33" s="82"/>
      <c r="AO33" s="82">
        <v>1878.333333333333</v>
      </c>
      <c r="AP33" s="82"/>
      <c r="AQ33" s="115"/>
      <c r="AR33" s="82"/>
      <c r="AS33" s="82">
        <v>1878.333333333333</v>
      </c>
      <c r="AT33" s="82"/>
      <c r="AU33" s="115"/>
      <c r="AV33" s="82"/>
      <c r="AW33" s="82">
        <v>1878.333333333333</v>
      </c>
      <c r="AX33" s="134"/>
      <c r="AY33" s="115"/>
      <c r="AZ33" s="135"/>
      <c r="BA33" s="82">
        <v>1878.333333333333</v>
      </c>
      <c r="BB33" s="125"/>
    </row>
    <row r="34" spans="2:54" ht="15.6" x14ac:dyDescent="0.3">
      <c r="B34" s="84" t="s">
        <v>51</v>
      </c>
      <c r="C34" s="81"/>
      <c r="D34" s="81">
        <v>2041.6666666666667</v>
      </c>
      <c r="E34" s="81">
        <v>306.24999999999977</v>
      </c>
      <c r="F34" s="82">
        <v>2347.9166666666665</v>
      </c>
      <c r="G34" s="115"/>
      <c r="H34" s="82"/>
      <c r="I34" s="82">
        <v>2347.9166666666665</v>
      </c>
      <c r="J34" s="82">
        <f t="shared" si="0"/>
        <v>-2347.9166666666665</v>
      </c>
      <c r="K34" s="131"/>
      <c r="L34" s="82">
        <f t="shared" si="7"/>
        <v>1380</v>
      </c>
      <c r="M34" s="82">
        <v>2347.9166666666665</v>
      </c>
      <c r="N34" s="82">
        <f t="shared" si="1"/>
        <v>-967.91666666666652</v>
      </c>
      <c r="O34" s="115"/>
      <c r="P34" s="82">
        <f>1380</f>
        <v>1380</v>
      </c>
      <c r="Q34" s="82">
        <v>2347.9166666666665</v>
      </c>
      <c r="R34" s="82">
        <f t="shared" si="2"/>
        <v>-967.91666666666652</v>
      </c>
      <c r="S34" s="115"/>
      <c r="T34" s="82">
        <f>1380</f>
        <v>1380</v>
      </c>
      <c r="U34" s="82">
        <v>2347.9166666666665</v>
      </c>
      <c r="V34" s="82">
        <f t="shared" si="3"/>
        <v>-967.91666666666652</v>
      </c>
      <c r="W34" s="115"/>
      <c r="X34" s="82">
        <f>1380</f>
        <v>1380</v>
      </c>
      <c r="Y34" s="82">
        <v>2347.9166666666665</v>
      </c>
      <c r="Z34" s="82">
        <f t="shared" si="4"/>
        <v>-967.91666666666652</v>
      </c>
      <c r="AA34" s="115"/>
      <c r="AB34" s="82">
        <f>1380</f>
        <v>1380</v>
      </c>
      <c r="AC34" s="82">
        <v>2347.9166666666665</v>
      </c>
      <c r="AD34" s="82">
        <f t="shared" si="5"/>
        <v>-967.91666666666652</v>
      </c>
      <c r="AE34" s="115"/>
      <c r="AF34" s="82">
        <v>1380</v>
      </c>
      <c r="AG34" s="82">
        <v>2347.9166666666665</v>
      </c>
      <c r="AH34" s="82">
        <f t="shared" si="6"/>
        <v>-967.91666666666652</v>
      </c>
      <c r="AI34" s="115"/>
      <c r="AJ34" s="82">
        <v>1380</v>
      </c>
      <c r="AK34" s="82">
        <v>2347.9166666666665</v>
      </c>
      <c r="AL34" s="82">
        <v>-967.91666666666652</v>
      </c>
      <c r="AM34" s="115"/>
      <c r="AN34" s="82"/>
      <c r="AO34" s="82">
        <v>2347.9166666666665</v>
      </c>
      <c r="AP34" s="82"/>
      <c r="AQ34" s="115"/>
      <c r="AR34" s="82"/>
      <c r="AS34" s="82">
        <v>2347.9166666666665</v>
      </c>
      <c r="AT34" s="82"/>
      <c r="AU34" s="115"/>
      <c r="AV34" s="82"/>
      <c r="AW34" s="82">
        <v>2347.9166666666665</v>
      </c>
      <c r="AX34" s="134"/>
      <c r="AY34" s="115"/>
      <c r="AZ34" s="135"/>
      <c r="BA34" s="82">
        <v>2347.9166666666665</v>
      </c>
      <c r="BB34" s="125"/>
    </row>
    <row r="35" spans="2:54" ht="15.6" x14ac:dyDescent="0.3">
      <c r="B35" s="84" t="s">
        <v>51</v>
      </c>
      <c r="C35" s="81"/>
      <c r="D35" s="81">
        <v>2041.6666666666667</v>
      </c>
      <c r="E35" s="81">
        <v>306.24999999999977</v>
      </c>
      <c r="F35" s="82">
        <v>2347.9166666666665</v>
      </c>
      <c r="G35" s="115"/>
      <c r="H35" s="82"/>
      <c r="I35" s="82">
        <v>2347.9166666666665</v>
      </c>
      <c r="J35" s="82">
        <f t="shared" si="0"/>
        <v>-2347.9166666666665</v>
      </c>
      <c r="K35" s="131"/>
      <c r="L35" s="82">
        <f t="shared" si="7"/>
        <v>1380</v>
      </c>
      <c r="M35" s="82">
        <v>2347.9166666666665</v>
      </c>
      <c r="N35" s="82">
        <f t="shared" si="1"/>
        <v>-967.91666666666652</v>
      </c>
      <c r="O35" s="115"/>
      <c r="P35" s="82">
        <v>1380</v>
      </c>
      <c r="Q35" s="82">
        <v>2347.9166666666665</v>
      </c>
      <c r="R35" s="82">
        <f t="shared" si="2"/>
        <v>-967.91666666666652</v>
      </c>
      <c r="S35" s="115"/>
      <c r="T35" s="82">
        <v>1380</v>
      </c>
      <c r="U35" s="82">
        <v>2347.9166666666665</v>
      </c>
      <c r="V35" s="82">
        <f t="shared" si="3"/>
        <v>-967.91666666666652</v>
      </c>
      <c r="W35" s="115"/>
      <c r="X35" s="82">
        <v>1380</v>
      </c>
      <c r="Y35" s="82">
        <v>2347.9166666666665</v>
      </c>
      <c r="Z35" s="82">
        <f t="shared" si="4"/>
        <v>-967.91666666666652</v>
      </c>
      <c r="AA35" s="115"/>
      <c r="AB35" s="82">
        <f>1380</f>
        <v>1380</v>
      </c>
      <c r="AC35" s="82">
        <v>2347.9166666666665</v>
      </c>
      <c r="AD35" s="82">
        <f t="shared" si="5"/>
        <v>-967.91666666666652</v>
      </c>
      <c r="AE35" s="115"/>
      <c r="AF35" s="82">
        <v>1380</v>
      </c>
      <c r="AG35" s="82">
        <v>2347.9166666666665</v>
      </c>
      <c r="AH35" s="82">
        <f t="shared" si="6"/>
        <v>-967.91666666666652</v>
      </c>
      <c r="AI35" s="115"/>
      <c r="AJ35" s="82">
        <v>1380</v>
      </c>
      <c r="AK35" s="82">
        <v>2347.9166666666665</v>
      </c>
      <c r="AL35" s="82">
        <v>-967.91666666666652</v>
      </c>
      <c r="AM35" s="115"/>
      <c r="AN35" s="82"/>
      <c r="AO35" s="82">
        <v>2347.9166666666665</v>
      </c>
      <c r="AP35" s="82"/>
      <c r="AQ35" s="115"/>
      <c r="AR35" s="82"/>
      <c r="AS35" s="82">
        <v>2347.9166666666665</v>
      </c>
      <c r="AT35" s="82"/>
      <c r="AU35" s="115"/>
      <c r="AV35" s="82"/>
      <c r="AW35" s="82">
        <v>2347.9166666666665</v>
      </c>
      <c r="AX35" s="134"/>
      <c r="AY35" s="115"/>
      <c r="AZ35" s="135"/>
      <c r="BA35" s="82">
        <v>2347.9166666666665</v>
      </c>
      <c r="BB35" s="125"/>
    </row>
    <row r="36" spans="2:54" ht="15.6" x14ac:dyDescent="0.3">
      <c r="B36" s="84" t="s">
        <v>51</v>
      </c>
      <c r="C36" s="81"/>
      <c r="D36" s="81">
        <v>2624.9999999999995</v>
      </c>
      <c r="E36" s="81">
        <v>393.74999999999955</v>
      </c>
      <c r="F36" s="82">
        <v>3018.7499999999991</v>
      </c>
      <c r="G36" s="115"/>
      <c r="H36" s="82"/>
      <c r="I36" s="82">
        <v>3018.7499999999991</v>
      </c>
      <c r="J36" s="82">
        <f t="shared" si="0"/>
        <v>-3018.7499999999991</v>
      </c>
      <c r="K36" s="131"/>
      <c r="L36" s="82">
        <f t="shared" si="7"/>
        <v>1380</v>
      </c>
      <c r="M36" s="82">
        <v>3018.7499999999991</v>
      </c>
      <c r="N36" s="82">
        <f t="shared" si="1"/>
        <v>-1638.7499999999991</v>
      </c>
      <c r="O36" s="115"/>
      <c r="P36" s="82">
        <f>1380</f>
        <v>1380</v>
      </c>
      <c r="Q36" s="82">
        <v>3018.7499999999991</v>
      </c>
      <c r="R36" s="82">
        <f t="shared" si="2"/>
        <v>-1638.7499999999991</v>
      </c>
      <c r="S36" s="115"/>
      <c r="T36" s="82">
        <f>1380</f>
        <v>1380</v>
      </c>
      <c r="U36" s="82">
        <v>3018.7499999999991</v>
      </c>
      <c r="V36" s="82">
        <f t="shared" si="3"/>
        <v>-1638.7499999999991</v>
      </c>
      <c r="W36" s="115"/>
      <c r="X36" s="82">
        <f>1380</f>
        <v>1380</v>
      </c>
      <c r="Y36" s="82">
        <v>3018.7499999999991</v>
      </c>
      <c r="Z36" s="82">
        <f t="shared" si="4"/>
        <v>-1638.7499999999991</v>
      </c>
      <c r="AA36" s="115"/>
      <c r="AB36" s="82">
        <v>1380</v>
      </c>
      <c r="AC36" s="82">
        <v>3018.7499999999991</v>
      </c>
      <c r="AD36" s="82">
        <f t="shared" si="5"/>
        <v>-1638.7499999999991</v>
      </c>
      <c r="AE36" s="115"/>
      <c r="AF36" s="82">
        <v>1380</v>
      </c>
      <c r="AG36" s="82">
        <v>3018.7499999999991</v>
      </c>
      <c r="AH36" s="82">
        <f t="shared" si="6"/>
        <v>-1638.7499999999991</v>
      </c>
      <c r="AI36" s="115"/>
      <c r="AJ36" s="82">
        <v>1380</v>
      </c>
      <c r="AK36" s="82">
        <v>3018.7499999999991</v>
      </c>
      <c r="AL36" s="82">
        <v>-1638.7499999999991</v>
      </c>
      <c r="AM36" s="115"/>
      <c r="AN36" s="82"/>
      <c r="AO36" s="82">
        <v>3018.7499999999991</v>
      </c>
      <c r="AP36" s="82"/>
      <c r="AQ36" s="115"/>
      <c r="AR36" s="82"/>
      <c r="AS36" s="82">
        <v>3018.7499999999991</v>
      </c>
      <c r="AT36" s="82"/>
      <c r="AU36" s="115"/>
      <c r="AV36" s="82"/>
      <c r="AW36" s="82">
        <v>3018.7499999999991</v>
      </c>
      <c r="AX36" s="134"/>
      <c r="AY36" s="115"/>
      <c r="AZ36" s="135"/>
      <c r="BA36" s="82">
        <v>3018.7499999999991</v>
      </c>
      <c r="BB36" s="125"/>
    </row>
    <row r="37" spans="2:54" ht="15.6" x14ac:dyDescent="0.3">
      <c r="B37" s="84" t="s">
        <v>51</v>
      </c>
      <c r="C37" s="81"/>
      <c r="D37" s="81">
        <v>2041.6666666666667</v>
      </c>
      <c r="E37" s="81">
        <v>306.24999999999977</v>
      </c>
      <c r="F37" s="82">
        <v>2347.9166666666665</v>
      </c>
      <c r="G37" s="115"/>
      <c r="H37" s="82"/>
      <c r="I37" s="82">
        <v>2347.9166666666665</v>
      </c>
      <c r="J37" s="82">
        <f t="shared" si="0"/>
        <v>-2347.9166666666665</v>
      </c>
      <c r="K37" s="131"/>
      <c r="L37" s="82">
        <f t="shared" si="7"/>
        <v>1380</v>
      </c>
      <c r="M37" s="82">
        <v>2347.9166666666665</v>
      </c>
      <c r="N37" s="82">
        <f t="shared" si="1"/>
        <v>-967.91666666666652</v>
      </c>
      <c r="O37" s="115"/>
      <c r="P37" s="82">
        <f>1380</f>
        <v>1380</v>
      </c>
      <c r="Q37" s="82">
        <v>2347.9166666666665</v>
      </c>
      <c r="R37" s="82">
        <f t="shared" si="2"/>
        <v>-967.91666666666652</v>
      </c>
      <c r="S37" s="115"/>
      <c r="T37" s="82">
        <f>1380</f>
        <v>1380</v>
      </c>
      <c r="U37" s="82">
        <v>2347.9166666666665</v>
      </c>
      <c r="V37" s="82">
        <f t="shared" si="3"/>
        <v>-967.91666666666652</v>
      </c>
      <c r="W37" s="115"/>
      <c r="X37" s="82">
        <f>1380</f>
        <v>1380</v>
      </c>
      <c r="Y37" s="82">
        <v>2347.9166666666665</v>
      </c>
      <c r="Z37" s="82">
        <f t="shared" si="4"/>
        <v>-967.91666666666652</v>
      </c>
      <c r="AA37" s="115"/>
      <c r="AB37" s="82">
        <v>1380</v>
      </c>
      <c r="AC37" s="82">
        <v>2347.9166666666665</v>
      </c>
      <c r="AD37" s="82">
        <f t="shared" si="5"/>
        <v>-967.91666666666652</v>
      </c>
      <c r="AE37" s="115"/>
      <c r="AF37" s="82">
        <v>1380</v>
      </c>
      <c r="AG37" s="82">
        <v>2347.9166666666665</v>
      </c>
      <c r="AH37" s="82">
        <f t="shared" si="6"/>
        <v>-967.91666666666652</v>
      </c>
      <c r="AI37" s="115"/>
      <c r="AJ37" s="82">
        <v>1380</v>
      </c>
      <c r="AK37" s="82">
        <v>2347.9166666666665</v>
      </c>
      <c r="AL37" s="82">
        <v>-967.91666666666652</v>
      </c>
      <c r="AM37" s="115"/>
      <c r="AN37" s="82"/>
      <c r="AO37" s="82">
        <v>2347.9166666666665</v>
      </c>
      <c r="AP37" s="82"/>
      <c r="AQ37" s="115"/>
      <c r="AR37" s="82"/>
      <c r="AS37" s="82">
        <v>2347.9166666666665</v>
      </c>
      <c r="AT37" s="82"/>
      <c r="AU37" s="115"/>
      <c r="AV37" s="82"/>
      <c r="AW37" s="82">
        <v>2347.9166666666665</v>
      </c>
      <c r="AX37" s="134"/>
      <c r="AY37" s="115"/>
      <c r="AZ37" s="135"/>
      <c r="BA37" s="82">
        <v>2347.9166666666665</v>
      </c>
      <c r="BB37" s="125"/>
    </row>
    <row r="38" spans="2:54" ht="15.6" x14ac:dyDescent="0.3">
      <c r="B38" s="84" t="s">
        <v>51</v>
      </c>
      <c r="C38" s="81"/>
      <c r="D38" s="81">
        <v>2041.6666666666667</v>
      </c>
      <c r="E38" s="81">
        <v>306.24999999999977</v>
      </c>
      <c r="F38" s="82">
        <v>2347.9166666666665</v>
      </c>
      <c r="G38" s="115"/>
      <c r="H38" s="82"/>
      <c r="I38" s="82">
        <v>2347.9166666666665</v>
      </c>
      <c r="J38" s="82">
        <f t="shared" si="0"/>
        <v>-2347.9166666666665</v>
      </c>
      <c r="K38" s="131"/>
      <c r="L38" s="82">
        <f t="shared" si="7"/>
        <v>1380</v>
      </c>
      <c r="M38" s="82">
        <v>2347.9166666666665</v>
      </c>
      <c r="N38" s="82">
        <f t="shared" si="1"/>
        <v>-967.91666666666652</v>
      </c>
      <c r="O38" s="115"/>
      <c r="P38" s="82">
        <f>1380</f>
        <v>1380</v>
      </c>
      <c r="Q38" s="82">
        <v>2347.9166666666665</v>
      </c>
      <c r="R38" s="82">
        <f t="shared" si="2"/>
        <v>-967.91666666666652</v>
      </c>
      <c r="S38" s="115"/>
      <c r="T38" s="82">
        <f>1380</f>
        <v>1380</v>
      </c>
      <c r="U38" s="82">
        <v>2347.9166666666665</v>
      </c>
      <c r="V38" s="82">
        <f t="shared" si="3"/>
        <v>-967.91666666666652</v>
      </c>
      <c r="W38" s="115"/>
      <c r="X38" s="82">
        <f>1380</f>
        <v>1380</v>
      </c>
      <c r="Y38" s="82">
        <v>2347.9166666666665</v>
      </c>
      <c r="Z38" s="82">
        <f t="shared" si="4"/>
        <v>-967.91666666666652</v>
      </c>
      <c r="AA38" s="115"/>
      <c r="AB38" s="82">
        <v>1380</v>
      </c>
      <c r="AC38" s="82">
        <v>2347.9166666666665</v>
      </c>
      <c r="AD38" s="82">
        <f t="shared" si="5"/>
        <v>-967.91666666666652</v>
      </c>
      <c r="AE38" s="115"/>
      <c r="AF38" s="82">
        <v>1380</v>
      </c>
      <c r="AG38" s="82">
        <v>2347.9166666666665</v>
      </c>
      <c r="AH38" s="82">
        <f t="shared" si="6"/>
        <v>-967.91666666666652</v>
      </c>
      <c r="AI38" s="115"/>
      <c r="AJ38" s="82">
        <v>1380</v>
      </c>
      <c r="AK38" s="82">
        <v>2347.9166666666665</v>
      </c>
      <c r="AL38" s="82">
        <v>-967.91666666666652</v>
      </c>
      <c r="AM38" s="115"/>
      <c r="AN38" s="82"/>
      <c r="AO38" s="82">
        <v>2347.9166666666665</v>
      </c>
      <c r="AP38" s="82"/>
      <c r="AQ38" s="115"/>
      <c r="AR38" s="82"/>
      <c r="AS38" s="82">
        <v>2347.9166666666665</v>
      </c>
      <c r="AT38" s="82"/>
      <c r="AU38" s="115"/>
      <c r="AV38" s="82"/>
      <c r="AW38" s="82">
        <v>2347.9166666666665</v>
      </c>
      <c r="AX38" s="134"/>
      <c r="AY38" s="115"/>
      <c r="AZ38" s="135"/>
      <c r="BA38" s="82">
        <v>2347.9166666666665</v>
      </c>
      <c r="BB38" s="125"/>
    </row>
    <row r="39" spans="2:54" ht="15.6" x14ac:dyDescent="0.3">
      <c r="B39" s="84" t="s">
        <v>51</v>
      </c>
      <c r="C39" s="81"/>
      <c r="D39" s="81">
        <v>2624.9999999999995</v>
      </c>
      <c r="E39" s="81">
        <v>393.74999999999955</v>
      </c>
      <c r="F39" s="82">
        <v>3018.7499999999991</v>
      </c>
      <c r="G39" s="115"/>
      <c r="H39" s="82"/>
      <c r="I39" s="82">
        <v>3018.7499999999991</v>
      </c>
      <c r="J39" s="82">
        <f t="shared" si="0"/>
        <v>-3018.7499999999991</v>
      </c>
      <c r="K39" s="131"/>
      <c r="L39" s="82">
        <f t="shared" si="7"/>
        <v>1380</v>
      </c>
      <c r="M39" s="82">
        <v>3018.7499999999991</v>
      </c>
      <c r="N39" s="82">
        <f t="shared" si="1"/>
        <v>-1638.7499999999991</v>
      </c>
      <c r="O39" s="115"/>
      <c r="P39" s="82">
        <f>1380</f>
        <v>1380</v>
      </c>
      <c r="Q39" s="82">
        <v>3018.7499999999991</v>
      </c>
      <c r="R39" s="82">
        <f t="shared" si="2"/>
        <v>-1638.7499999999991</v>
      </c>
      <c r="S39" s="115"/>
      <c r="T39" s="82">
        <f>1380</f>
        <v>1380</v>
      </c>
      <c r="U39" s="82">
        <v>3018.7499999999991</v>
      </c>
      <c r="V39" s="82">
        <f t="shared" si="3"/>
        <v>-1638.7499999999991</v>
      </c>
      <c r="W39" s="115"/>
      <c r="X39" s="82">
        <f>1380</f>
        <v>1380</v>
      </c>
      <c r="Y39" s="82">
        <v>3018.7499999999991</v>
      </c>
      <c r="Z39" s="82">
        <f t="shared" si="4"/>
        <v>-1638.7499999999991</v>
      </c>
      <c r="AA39" s="115"/>
      <c r="AB39" s="82">
        <v>1380</v>
      </c>
      <c r="AC39" s="82">
        <v>3018.7499999999991</v>
      </c>
      <c r="AD39" s="82">
        <f t="shared" si="5"/>
        <v>-1638.7499999999991</v>
      </c>
      <c r="AE39" s="115"/>
      <c r="AF39" s="82">
        <v>1380</v>
      </c>
      <c r="AG39" s="82">
        <v>3018.7499999999991</v>
      </c>
      <c r="AH39" s="82">
        <f t="shared" si="6"/>
        <v>-1638.7499999999991</v>
      </c>
      <c r="AI39" s="115"/>
      <c r="AJ39" s="82">
        <v>1380</v>
      </c>
      <c r="AK39" s="82">
        <v>3018.7499999999991</v>
      </c>
      <c r="AL39" s="82">
        <v>-1638.7499999999991</v>
      </c>
      <c r="AM39" s="115"/>
      <c r="AN39" s="82"/>
      <c r="AO39" s="82">
        <v>3018.7499999999991</v>
      </c>
      <c r="AP39" s="82"/>
      <c r="AQ39" s="115"/>
      <c r="AR39" s="82"/>
      <c r="AS39" s="82">
        <v>3018.7499999999991</v>
      </c>
      <c r="AT39" s="82"/>
      <c r="AU39" s="115"/>
      <c r="AV39" s="82"/>
      <c r="AW39" s="82">
        <v>3018.7499999999991</v>
      </c>
      <c r="AX39" s="134"/>
      <c r="AY39" s="115"/>
      <c r="AZ39" s="135"/>
      <c r="BA39" s="82">
        <v>3018.7499999999991</v>
      </c>
      <c r="BB39" s="125"/>
    </row>
    <row r="40" spans="2:54" ht="15.6" x14ac:dyDescent="0.3">
      <c r="B40" s="84" t="s">
        <v>52</v>
      </c>
      <c r="C40" s="81"/>
      <c r="D40" s="81">
        <v>1750</v>
      </c>
      <c r="E40" s="81">
        <v>262.49999999999977</v>
      </c>
      <c r="F40" s="82">
        <v>2012.5</v>
      </c>
      <c r="G40" s="115"/>
      <c r="H40" s="82"/>
      <c r="I40" s="82">
        <v>2012.4999999999998</v>
      </c>
      <c r="J40" s="82">
        <f t="shared" si="0"/>
        <v>-2012.4999999999998</v>
      </c>
      <c r="K40" s="131"/>
      <c r="L40" s="82"/>
      <c r="M40" s="82">
        <v>2012.4999999999998</v>
      </c>
      <c r="N40" s="82">
        <f t="shared" si="1"/>
        <v>-2012.4999999999998</v>
      </c>
      <c r="O40" s="115"/>
      <c r="P40" s="82"/>
      <c r="Q40" s="82">
        <v>2012.4999999999998</v>
      </c>
      <c r="R40" s="82">
        <f t="shared" si="2"/>
        <v>-2012.4999999999998</v>
      </c>
      <c r="S40" s="115"/>
      <c r="T40" s="82"/>
      <c r="U40" s="82">
        <v>2012.4999999999998</v>
      </c>
      <c r="V40" s="82">
        <f t="shared" si="3"/>
        <v>-2012.4999999999998</v>
      </c>
      <c r="W40" s="115"/>
      <c r="X40" s="82"/>
      <c r="Y40" s="82">
        <v>2012.4999999999998</v>
      </c>
      <c r="Z40" s="82">
        <f t="shared" si="4"/>
        <v>-2012.4999999999998</v>
      </c>
      <c r="AA40" s="115"/>
      <c r="AB40" s="82"/>
      <c r="AC40" s="82">
        <v>2012.4999999999998</v>
      </c>
      <c r="AD40" s="82">
        <f t="shared" si="5"/>
        <v>-2012.4999999999998</v>
      </c>
      <c r="AE40" s="115"/>
      <c r="AF40" s="82"/>
      <c r="AG40" s="82">
        <v>2012.4999999999998</v>
      </c>
      <c r="AH40" s="82">
        <f t="shared" si="6"/>
        <v>-2012.4999999999998</v>
      </c>
      <c r="AI40" s="115"/>
      <c r="AJ40" s="82"/>
      <c r="AK40" s="82">
        <v>2012.4999999999998</v>
      </c>
      <c r="AL40" s="82">
        <v>-2012.4999999999998</v>
      </c>
      <c r="AM40" s="115"/>
      <c r="AN40" s="82"/>
      <c r="AO40" s="82">
        <v>2012.4999999999998</v>
      </c>
      <c r="AP40" s="82"/>
      <c r="AQ40" s="115"/>
      <c r="AR40" s="82"/>
      <c r="AS40" s="82">
        <v>2012.4999999999998</v>
      </c>
      <c r="AT40" s="82"/>
      <c r="AU40" s="115"/>
      <c r="AV40" s="82"/>
      <c r="AW40" s="82">
        <v>2012.4999999999998</v>
      </c>
      <c r="AX40" s="134"/>
      <c r="AY40" s="115"/>
      <c r="AZ40" s="135"/>
      <c r="BA40" s="82">
        <v>2012.4999999999998</v>
      </c>
      <c r="BB40" s="125"/>
    </row>
    <row r="41" spans="2:54" ht="15.6" x14ac:dyDescent="0.3">
      <c r="B41" s="84" t="s">
        <v>52</v>
      </c>
      <c r="C41" s="81"/>
      <c r="D41" s="81">
        <v>1750</v>
      </c>
      <c r="E41" s="81">
        <v>262.49999999999977</v>
      </c>
      <c r="F41" s="82">
        <v>2012.4999999999998</v>
      </c>
      <c r="G41" s="115"/>
      <c r="H41" s="82"/>
      <c r="I41" s="82">
        <v>2012.4999999999998</v>
      </c>
      <c r="J41" s="82">
        <f t="shared" si="0"/>
        <v>-2012.4999999999998</v>
      </c>
      <c r="K41" s="131"/>
      <c r="L41" s="82"/>
      <c r="M41" s="82">
        <v>2012.4999999999998</v>
      </c>
      <c r="N41" s="82">
        <f t="shared" si="1"/>
        <v>-2012.4999999999998</v>
      </c>
      <c r="O41" s="115"/>
      <c r="P41" s="82"/>
      <c r="Q41" s="82">
        <v>2012.4999999999998</v>
      </c>
      <c r="R41" s="82">
        <f t="shared" si="2"/>
        <v>-2012.4999999999998</v>
      </c>
      <c r="S41" s="115"/>
      <c r="T41" s="82"/>
      <c r="U41" s="82">
        <v>2012.4999999999998</v>
      </c>
      <c r="V41" s="82">
        <f t="shared" si="3"/>
        <v>-2012.4999999999998</v>
      </c>
      <c r="W41" s="115"/>
      <c r="X41" s="82"/>
      <c r="Y41" s="82">
        <v>2012.4999999999998</v>
      </c>
      <c r="Z41" s="82">
        <f t="shared" si="4"/>
        <v>-2012.4999999999998</v>
      </c>
      <c r="AA41" s="115"/>
      <c r="AB41" s="82"/>
      <c r="AC41" s="82">
        <v>2012.4999999999998</v>
      </c>
      <c r="AD41" s="82">
        <f t="shared" si="5"/>
        <v>-2012.4999999999998</v>
      </c>
      <c r="AE41" s="115"/>
      <c r="AF41" s="82"/>
      <c r="AG41" s="82">
        <v>2012.4999999999998</v>
      </c>
      <c r="AH41" s="82">
        <f t="shared" si="6"/>
        <v>-2012.4999999999998</v>
      </c>
      <c r="AI41" s="115"/>
      <c r="AJ41" s="82"/>
      <c r="AK41" s="82">
        <v>2012.4999999999998</v>
      </c>
      <c r="AL41" s="82">
        <v>-2012.4999999999998</v>
      </c>
      <c r="AM41" s="115"/>
      <c r="AN41" s="82"/>
      <c r="AO41" s="82">
        <v>2012.4999999999998</v>
      </c>
      <c r="AP41" s="82"/>
      <c r="AQ41" s="115"/>
      <c r="AR41" s="82"/>
      <c r="AS41" s="82">
        <v>2012.4999999999998</v>
      </c>
      <c r="AT41" s="82"/>
      <c r="AU41" s="115"/>
      <c r="AV41" s="82"/>
      <c r="AW41" s="82">
        <v>2012.4999999999998</v>
      </c>
      <c r="AX41" s="134"/>
      <c r="AY41" s="115"/>
      <c r="AZ41" s="135"/>
      <c r="BA41" s="82">
        <v>2012.4999999999998</v>
      </c>
      <c r="BB41" s="125"/>
    </row>
    <row r="42" spans="2:54" ht="15.6" x14ac:dyDescent="0.3">
      <c r="B42" s="84" t="s">
        <v>53</v>
      </c>
      <c r="C42" s="81"/>
      <c r="D42" s="81">
        <v>291.66666666666669</v>
      </c>
      <c r="E42" s="81">
        <v>43.75</v>
      </c>
      <c r="F42" s="82">
        <v>335.41666666666669</v>
      </c>
      <c r="G42" s="115"/>
      <c r="H42" s="82"/>
      <c r="I42" s="82">
        <v>335.41666666666669</v>
      </c>
      <c r="J42" s="82">
        <f t="shared" si="0"/>
        <v>-335.41666666666669</v>
      </c>
      <c r="K42" s="131"/>
      <c r="L42" s="82"/>
      <c r="M42" s="82">
        <v>335.41666666666669</v>
      </c>
      <c r="N42" s="82">
        <f t="shared" si="1"/>
        <v>-335.41666666666669</v>
      </c>
      <c r="O42" s="115"/>
      <c r="P42" s="82"/>
      <c r="Q42" s="82">
        <v>335.41666666666669</v>
      </c>
      <c r="R42" s="82">
        <f t="shared" si="2"/>
        <v>-335.41666666666669</v>
      </c>
      <c r="S42" s="115"/>
      <c r="T42" s="82"/>
      <c r="U42" s="82">
        <v>335.41666666666669</v>
      </c>
      <c r="V42" s="82">
        <f t="shared" si="3"/>
        <v>-335.41666666666669</v>
      </c>
      <c r="W42" s="115"/>
      <c r="X42" s="82"/>
      <c r="Y42" s="82">
        <v>335.41666666666669</v>
      </c>
      <c r="Z42" s="82">
        <f t="shared" si="4"/>
        <v>-335.41666666666669</v>
      </c>
      <c r="AA42" s="115"/>
      <c r="AB42" s="82"/>
      <c r="AC42" s="82">
        <v>335.41666666666669</v>
      </c>
      <c r="AD42" s="82">
        <f t="shared" si="5"/>
        <v>-335.41666666666669</v>
      </c>
      <c r="AE42" s="115"/>
      <c r="AF42" s="82"/>
      <c r="AG42" s="82">
        <v>335.41666666666669</v>
      </c>
      <c r="AH42" s="82">
        <f t="shared" si="6"/>
        <v>-335.41666666666669</v>
      </c>
      <c r="AI42" s="115"/>
      <c r="AJ42" s="82"/>
      <c r="AK42" s="82">
        <v>335.41666666666669</v>
      </c>
      <c r="AL42" s="82">
        <v>-335.41666666666669</v>
      </c>
      <c r="AM42" s="115"/>
      <c r="AN42" s="82"/>
      <c r="AO42" s="82">
        <v>335.41666666666669</v>
      </c>
      <c r="AP42" s="82"/>
      <c r="AQ42" s="115"/>
      <c r="AR42" s="82"/>
      <c r="AS42" s="82">
        <v>335.41666666666669</v>
      </c>
      <c r="AT42" s="82"/>
      <c r="AU42" s="115"/>
      <c r="AV42" s="82"/>
      <c r="AW42" s="82">
        <v>335.41666666666669</v>
      </c>
      <c r="AX42" s="134"/>
      <c r="AY42" s="115"/>
      <c r="AZ42" s="135"/>
      <c r="BA42" s="82">
        <v>335.41666666666669</v>
      </c>
      <c r="BB42" s="125"/>
    </row>
    <row r="43" spans="2:54" ht="15.6" x14ac:dyDescent="0.3">
      <c r="B43" s="152" t="s">
        <v>43</v>
      </c>
      <c r="C43" s="85"/>
      <c r="D43" s="85">
        <v>3500</v>
      </c>
      <c r="E43" s="85">
        <v>524.99999999999955</v>
      </c>
      <c r="F43" s="188">
        <v>4024.9999999999995</v>
      </c>
      <c r="G43" s="189"/>
      <c r="H43" s="188"/>
      <c r="I43" s="188">
        <v>4024.9999999999995</v>
      </c>
      <c r="J43" s="188">
        <f t="shared" si="0"/>
        <v>-4024.9999999999995</v>
      </c>
      <c r="K43" s="190"/>
      <c r="L43" s="188"/>
      <c r="M43" s="188">
        <v>4024.9999999999995</v>
      </c>
      <c r="N43" s="188">
        <f t="shared" si="1"/>
        <v>-4024.9999999999995</v>
      </c>
      <c r="O43" s="189"/>
      <c r="P43" s="188"/>
      <c r="Q43" s="188">
        <v>4024.9999999999995</v>
      </c>
      <c r="R43" s="188">
        <f t="shared" si="2"/>
        <v>-4024.9999999999995</v>
      </c>
      <c r="S43" s="189"/>
      <c r="T43" s="188"/>
      <c r="U43" s="188">
        <v>4024.9999999999995</v>
      </c>
      <c r="V43" s="188">
        <f t="shared" si="3"/>
        <v>-4024.9999999999995</v>
      </c>
      <c r="W43" s="189"/>
      <c r="X43" s="188"/>
      <c r="Y43" s="188">
        <v>4024.9999999999995</v>
      </c>
      <c r="Z43" s="188">
        <f t="shared" si="4"/>
        <v>-4024.9999999999995</v>
      </c>
      <c r="AA43" s="189"/>
      <c r="AB43" s="188"/>
      <c r="AC43" s="188">
        <v>4024.9999999999995</v>
      </c>
      <c r="AD43" s="188">
        <f t="shared" si="5"/>
        <v>-4024.9999999999995</v>
      </c>
      <c r="AE43" s="189"/>
      <c r="AF43" s="188"/>
      <c r="AG43" s="188">
        <v>4024.9999999999995</v>
      </c>
      <c r="AH43" s="82">
        <f t="shared" si="6"/>
        <v>-4024.9999999999995</v>
      </c>
      <c r="AI43" s="189"/>
      <c r="AJ43" s="188"/>
      <c r="AK43" s="188">
        <v>4024.9999999999995</v>
      </c>
      <c r="AL43" s="188">
        <v>-4024.9999999999995</v>
      </c>
      <c r="AM43" s="189"/>
      <c r="AN43" s="188"/>
      <c r="AO43" s="188">
        <v>4024.9999999999995</v>
      </c>
      <c r="AP43" s="188"/>
      <c r="AQ43" s="189"/>
      <c r="AR43" s="188"/>
      <c r="AS43" s="188">
        <v>4024.9999999999995</v>
      </c>
      <c r="AT43" s="188"/>
      <c r="AU43" s="189"/>
      <c r="AV43" s="188"/>
      <c r="AW43" s="188">
        <v>4024.9999999999995</v>
      </c>
      <c r="AX43" s="191"/>
      <c r="AY43" s="189"/>
      <c r="AZ43" s="192"/>
      <c r="BA43" s="188">
        <v>4024.9999999999995</v>
      </c>
      <c r="BB43" s="193"/>
    </row>
    <row r="46" spans="2:54" ht="15.6" x14ac:dyDescent="0.3">
      <c r="G46" s="131"/>
      <c r="H46" s="123" t="s">
        <v>127</v>
      </c>
      <c r="I46" s="123" t="s">
        <v>152</v>
      </c>
      <c r="J46" s="123" t="s">
        <v>129</v>
      </c>
      <c r="K46" s="131"/>
      <c r="L46" s="123" t="s">
        <v>130</v>
      </c>
      <c r="M46" s="123" t="s">
        <v>153</v>
      </c>
      <c r="N46" s="123" t="s">
        <v>129</v>
      </c>
      <c r="O46" s="115"/>
      <c r="P46" s="123" t="s">
        <v>132</v>
      </c>
      <c r="Q46" s="123" t="s">
        <v>154</v>
      </c>
      <c r="R46" s="123" t="s">
        <v>129</v>
      </c>
      <c r="S46" s="115"/>
      <c r="T46" s="123" t="s">
        <v>134</v>
      </c>
      <c r="U46" s="123" t="s">
        <v>155</v>
      </c>
      <c r="V46" s="123" t="s">
        <v>129</v>
      </c>
      <c r="W46" s="115"/>
      <c r="X46" s="123" t="s">
        <v>136</v>
      </c>
      <c r="Y46" s="123" t="s">
        <v>156</v>
      </c>
      <c r="Z46" s="123" t="s">
        <v>129</v>
      </c>
      <c r="AA46" s="115"/>
      <c r="AB46" s="123" t="s">
        <v>138</v>
      </c>
      <c r="AC46" s="123" t="s">
        <v>157</v>
      </c>
      <c r="AD46" s="123" t="s">
        <v>129</v>
      </c>
      <c r="AE46" s="115"/>
      <c r="AF46" s="123" t="s">
        <v>140</v>
      </c>
      <c r="AG46" s="123" t="s">
        <v>158</v>
      </c>
      <c r="AH46" s="123" t="s">
        <v>129</v>
      </c>
      <c r="AI46" s="115"/>
      <c r="AJ46" s="123" t="s">
        <v>142</v>
      </c>
      <c r="AK46" s="123" t="s">
        <v>159</v>
      </c>
      <c r="AL46" s="123" t="s">
        <v>129</v>
      </c>
      <c r="AM46" s="115"/>
      <c r="AN46" s="123" t="s">
        <v>144</v>
      </c>
      <c r="AO46" s="123" t="s">
        <v>160</v>
      </c>
      <c r="AP46" s="123" t="s">
        <v>129</v>
      </c>
      <c r="AQ46" s="115"/>
      <c r="AR46" s="123" t="s">
        <v>146</v>
      </c>
      <c r="AS46" s="123" t="s">
        <v>161</v>
      </c>
      <c r="AT46" s="123" t="s">
        <v>129</v>
      </c>
      <c r="AU46" s="115"/>
      <c r="AV46" s="123" t="s">
        <v>148</v>
      </c>
      <c r="AW46" s="133" t="s">
        <v>162</v>
      </c>
      <c r="AX46" s="133" t="s">
        <v>129</v>
      </c>
      <c r="AY46" s="115"/>
      <c r="AZ46" s="124" t="s">
        <v>150</v>
      </c>
      <c r="BA46" s="124" t="s">
        <v>163</v>
      </c>
      <c r="BB46" s="124" t="s">
        <v>129</v>
      </c>
    </row>
    <row r="47" spans="2:54" ht="15.6" x14ac:dyDescent="0.3">
      <c r="B47" s="74"/>
      <c r="C47" s="74"/>
      <c r="F47" s="77"/>
      <c r="G47" s="131"/>
      <c r="H47" s="127">
        <f>SUM(H8:H42)</f>
        <v>392750.875</v>
      </c>
      <c r="I47" s="127">
        <f>SUM(I4:I43)</f>
        <v>649260.08166666643</v>
      </c>
      <c r="J47" s="127">
        <f>H47-I47</f>
        <v>-256509.20666666643</v>
      </c>
      <c r="K47" s="131"/>
      <c r="L47" s="127">
        <f>SUM(L4:L42)</f>
        <v>868446.07499999995</v>
      </c>
      <c r="M47" s="127">
        <f>SUM(M4:M43)</f>
        <v>753506.63166666636</v>
      </c>
      <c r="N47" s="127">
        <f>L47-M47</f>
        <v>114939.44333333359</v>
      </c>
      <c r="O47" s="115"/>
      <c r="P47" s="127">
        <f>SUM(P4:P43)</f>
        <v>1058161</v>
      </c>
      <c r="Q47" s="127">
        <f>SUM(Q4:Q43)</f>
        <v>724177.00166666659</v>
      </c>
      <c r="R47" s="127">
        <f>P47-Q47</f>
        <v>333983.99833333341</v>
      </c>
      <c r="S47" s="115"/>
      <c r="T47" s="127">
        <f>SUM(T4:T43)</f>
        <v>779455.64</v>
      </c>
      <c r="U47" s="127">
        <f>SUM(U4:U43)</f>
        <v>743617.5316666665</v>
      </c>
      <c r="V47" s="127">
        <f>SUM(V4:V43)</f>
        <v>35838.108333333337</v>
      </c>
      <c r="W47" s="115"/>
      <c r="X47" s="127">
        <f>SUM(X4:X43)</f>
        <v>849367.01</v>
      </c>
      <c r="Y47" s="127">
        <f>SUM(Y4:Y43)</f>
        <v>759681.1716666664</v>
      </c>
      <c r="Z47" s="127">
        <f>X47-Y47</f>
        <v>89685.83833333361</v>
      </c>
      <c r="AA47" s="115"/>
      <c r="AB47" s="127">
        <f>SUM(AB4:AB43)</f>
        <v>911219.76</v>
      </c>
      <c r="AC47" s="127">
        <f>SUM(AC4:AC43)</f>
        <v>780792.44166666653</v>
      </c>
      <c r="AD47" s="127">
        <f>AB47-AC47</f>
        <v>130427.31833333347</v>
      </c>
      <c r="AE47" s="115"/>
      <c r="AF47" s="127">
        <f>SUM(AF4:AF43)</f>
        <v>1094133.01</v>
      </c>
      <c r="AG47" s="127">
        <f>SUM(AG4:AG43)</f>
        <v>756009.1716666664</v>
      </c>
      <c r="AH47" s="127">
        <f>AF47-AG47</f>
        <v>338123.83833333361</v>
      </c>
      <c r="AI47" s="115"/>
      <c r="AJ47" s="127"/>
      <c r="AK47" s="127">
        <f>SUM(AK4:AK43)</f>
        <v>778290.7916666664</v>
      </c>
      <c r="AL47" s="127">
        <f>AJ47-AK47</f>
        <v>-778290.7916666664</v>
      </c>
      <c r="AM47" s="115"/>
      <c r="AN47" s="127"/>
      <c r="AO47" s="127">
        <f>SUM(AO4:AO43)</f>
        <v>531890.24166666658</v>
      </c>
      <c r="AP47" s="127">
        <f>AN47-AO47</f>
        <v>-531890.24166666658</v>
      </c>
      <c r="AQ47" s="115"/>
      <c r="AR47" s="127"/>
      <c r="AS47" s="127">
        <f>SUM(AS4:AS43)</f>
        <v>531890.24166666658</v>
      </c>
      <c r="AT47" s="127">
        <f>AR47-AS47</f>
        <v>-531890.24166666658</v>
      </c>
      <c r="AU47" s="115"/>
      <c r="AV47" s="127"/>
      <c r="AW47" s="127">
        <f>SUM(AW4:AW43)</f>
        <v>531890.24166666658</v>
      </c>
      <c r="AX47" s="127">
        <f>AV47-AW47</f>
        <v>-531890.24166666658</v>
      </c>
      <c r="AY47" s="115"/>
      <c r="AZ47" s="127"/>
      <c r="BA47" s="127">
        <f>SUM(BA4:BA43)</f>
        <v>531890.24166666658</v>
      </c>
      <c r="BB47" s="127">
        <f>AZ47-BA47</f>
        <v>-531890.24166666658</v>
      </c>
    </row>
    <row r="48" spans="2:54" ht="15.6" x14ac:dyDescent="0.3">
      <c r="B48" s="74"/>
      <c r="C48" s="74"/>
      <c r="F48" s="77"/>
      <c r="G48" s="74"/>
      <c r="H48" s="182"/>
      <c r="I48" s="182"/>
      <c r="J48" s="182"/>
      <c r="K48" s="183"/>
      <c r="L48" s="182"/>
      <c r="M48" s="182"/>
      <c r="N48" s="182"/>
      <c r="O48" s="182"/>
      <c r="P48" s="182"/>
      <c r="Q48" s="182"/>
      <c r="R48" s="182"/>
      <c r="S48" s="182"/>
      <c r="T48" s="182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</row>
    <row r="49" spans="2:54" ht="15.6" x14ac:dyDescent="0.3">
      <c r="B49" s="74"/>
      <c r="C49" s="74"/>
      <c r="F49" s="77"/>
      <c r="G49" s="74"/>
      <c r="H49" s="182"/>
      <c r="I49" s="182"/>
      <c r="J49" s="166" t="s">
        <v>164</v>
      </c>
      <c r="K49" s="183"/>
      <c r="L49" s="182"/>
      <c r="M49" s="182"/>
      <c r="N49" s="166" t="s">
        <v>165</v>
      </c>
      <c r="O49" s="182"/>
      <c r="P49" s="182"/>
      <c r="Q49" s="182"/>
      <c r="R49" s="166" t="s">
        <v>166</v>
      </c>
      <c r="S49" s="182"/>
      <c r="T49" s="182"/>
      <c r="U49" s="182"/>
      <c r="V49" s="166" t="s">
        <v>167</v>
      </c>
      <c r="W49" s="182"/>
      <c r="X49" s="182"/>
      <c r="Y49" s="182"/>
      <c r="Z49" s="166" t="s">
        <v>168</v>
      </c>
      <c r="AA49" s="182"/>
      <c r="AB49" s="182"/>
      <c r="AC49" s="182"/>
      <c r="AD49" s="166" t="s">
        <v>169</v>
      </c>
      <c r="AE49" s="182"/>
      <c r="AF49" s="182"/>
      <c r="AG49" s="182"/>
      <c r="AH49" s="166" t="s">
        <v>170</v>
      </c>
      <c r="AI49" s="182"/>
      <c r="AJ49" s="182"/>
      <c r="AK49" s="182"/>
      <c r="AL49" s="166" t="s">
        <v>171</v>
      </c>
      <c r="AM49" s="182"/>
      <c r="AN49" s="182"/>
      <c r="AO49" s="182"/>
      <c r="AP49" s="166" t="s">
        <v>172</v>
      </c>
      <c r="AQ49" s="182"/>
      <c r="AR49" s="182"/>
      <c r="AS49" s="182"/>
      <c r="AT49" s="166" t="s">
        <v>173</v>
      </c>
      <c r="AU49" s="182"/>
      <c r="AV49" s="182"/>
      <c r="AW49" s="182"/>
      <c r="AX49" s="166" t="s">
        <v>174</v>
      </c>
      <c r="AY49" s="182"/>
      <c r="AZ49" s="182"/>
      <c r="BA49" s="182"/>
      <c r="BB49" s="166" t="s">
        <v>175</v>
      </c>
    </row>
    <row r="50" spans="2:54" ht="15.6" x14ac:dyDescent="0.3">
      <c r="B50" s="74"/>
      <c r="C50" s="74"/>
      <c r="F50" s="77"/>
      <c r="G50" s="74"/>
      <c r="H50" s="182"/>
      <c r="I50" s="182"/>
      <c r="J50" s="172">
        <v>8302.5300000000007</v>
      </c>
      <c r="K50" s="183"/>
      <c r="L50" s="182"/>
      <c r="M50" s="182"/>
      <c r="N50" s="172">
        <v>15291.26</v>
      </c>
      <c r="O50" s="182"/>
      <c r="P50" s="182"/>
      <c r="Q50" s="182"/>
      <c r="R50" s="172">
        <f>12618.38</f>
        <v>12618.38</v>
      </c>
      <c r="S50" s="182"/>
      <c r="T50" s="182"/>
      <c r="U50" s="182"/>
      <c r="V50" s="172">
        <v>14630</v>
      </c>
      <c r="W50" s="182"/>
      <c r="X50" s="182"/>
      <c r="Y50" s="182"/>
      <c r="Z50" s="172">
        <v>16275.88</v>
      </c>
      <c r="AA50" s="182"/>
      <c r="AB50" s="182"/>
      <c r="AC50" s="182"/>
      <c r="AD50" s="172">
        <v>24871</v>
      </c>
      <c r="AE50" s="182"/>
      <c r="AF50" s="182"/>
      <c r="AG50" s="182"/>
      <c r="AH50" s="172">
        <v>12216.05</v>
      </c>
      <c r="AI50" s="182"/>
      <c r="AJ50" s="182"/>
      <c r="AK50" s="182"/>
      <c r="AL50" s="172"/>
      <c r="AM50" s="182"/>
      <c r="AN50" s="182"/>
      <c r="AO50" s="182"/>
      <c r="AP50" s="172"/>
      <c r="AQ50" s="182"/>
      <c r="AR50" s="182"/>
      <c r="AS50" s="182"/>
      <c r="AT50" s="172"/>
      <c r="AU50" s="182"/>
      <c r="AV50" s="182"/>
      <c r="AW50" s="182"/>
      <c r="AX50" s="172"/>
      <c r="AY50" s="182"/>
      <c r="AZ50" s="182"/>
      <c r="BA50" s="182"/>
      <c r="BB50" s="172"/>
    </row>
    <row r="52" spans="2:54" x14ac:dyDescent="0.3">
      <c r="F52" s="15"/>
      <c r="J52" s="166" t="s">
        <v>104</v>
      </c>
      <c r="N52" s="184" t="s">
        <v>105</v>
      </c>
      <c r="R52" s="184" t="s">
        <v>106</v>
      </c>
      <c r="V52" s="184" t="s">
        <v>107</v>
      </c>
      <c r="Z52" s="184" t="s">
        <v>108</v>
      </c>
      <c r="AD52" s="184" t="s">
        <v>109</v>
      </c>
      <c r="AH52" s="184" t="s">
        <v>110</v>
      </c>
      <c r="AL52" s="184" t="s">
        <v>176</v>
      </c>
      <c r="AP52" s="184" t="s">
        <v>111</v>
      </c>
      <c r="AT52" s="184" t="s">
        <v>112</v>
      </c>
      <c r="AX52" s="184" t="s">
        <v>113</v>
      </c>
      <c r="BB52" s="184" t="s">
        <v>114</v>
      </c>
    </row>
    <row r="53" spans="2:54" ht="15.6" x14ac:dyDescent="0.3">
      <c r="F53" s="77"/>
      <c r="G53" s="74"/>
      <c r="H53" s="126"/>
      <c r="I53" s="126"/>
      <c r="J53" s="172">
        <f>'Monthly Running Cost'!D49</f>
        <v>71536.820000000007</v>
      </c>
      <c r="K53" s="129"/>
      <c r="L53" s="126"/>
      <c r="M53" s="126"/>
      <c r="N53" s="172">
        <f>'Monthly Running Cost'!F49</f>
        <v>191456.86</v>
      </c>
      <c r="O53" s="126"/>
      <c r="R53" s="172">
        <f>'Monthly Running Cost'!H49</f>
        <v>75614.489999999991</v>
      </c>
      <c r="V53" s="172">
        <f>'Monthly Running Cost'!J49</f>
        <v>74934.31</v>
      </c>
      <c r="Z53" s="172">
        <f>'Monthly Running Cost'!L49</f>
        <v>106155.11</v>
      </c>
      <c r="AD53" s="172">
        <f>'Monthly Running Cost'!N49</f>
        <v>227734.05</v>
      </c>
      <c r="AH53" s="172">
        <f>'Monthly Running Cost'!P49</f>
        <v>197949.26</v>
      </c>
      <c r="AL53" s="172">
        <f>'Monthly Running Cost'!R49</f>
        <v>151370.31</v>
      </c>
      <c r="AP53" s="172">
        <f>'Monthly Running Cost'!T49</f>
        <v>0</v>
      </c>
      <c r="AT53" s="172">
        <f>'Monthly Running Cost'!V49</f>
        <v>0</v>
      </c>
      <c r="AX53" s="172">
        <f>'Monthly Running Cost'!X49</f>
        <v>0</v>
      </c>
      <c r="BB53" s="172">
        <f>'Monthly Running Cost'!Z49</f>
        <v>0</v>
      </c>
    </row>
    <row r="54" spans="2:54" ht="15.6" x14ac:dyDescent="0.3">
      <c r="F54" s="74"/>
      <c r="G54" s="74"/>
      <c r="H54" s="126"/>
      <c r="I54" s="126"/>
      <c r="J54" s="173"/>
      <c r="K54" s="129"/>
      <c r="L54" s="126"/>
      <c r="M54" s="126"/>
      <c r="N54" s="173"/>
      <c r="O54" s="126"/>
      <c r="R54" s="173"/>
      <c r="V54" s="173"/>
      <c r="Z54" s="173"/>
      <c r="AD54" s="173"/>
      <c r="AH54" s="173"/>
      <c r="AL54" s="173"/>
      <c r="AP54" s="173"/>
      <c r="AT54" s="173"/>
      <c r="AX54" s="173"/>
      <c r="BB54" s="173"/>
    </row>
    <row r="55" spans="2:54" ht="15.6" x14ac:dyDescent="0.3">
      <c r="F55" s="74"/>
      <c r="G55" s="74"/>
      <c r="I55" s="126"/>
      <c r="J55" s="166" t="s">
        <v>177</v>
      </c>
      <c r="K55" s="129"/>
      <c r="L55" s="126"/>
      <c r="M55" s="126"/>
      <c r="N55" s="166" t="s">
        <v>178</v>
      </c>
      <c r="O55" s="126"/>
      <c r="R55" s="166" t="s">
        <v>179</v>
      </c>
      <c r="V55" s="166" t="s">
        <v>180</v>
      </c>
      <c r="Z55" s="166" t="s">
        <v>181</v>
      </c>
      <c r="AD55" s="166" t="s">
        <v>182</v>
      </c>
      <c r="AH55" s="166" t="s">
        <v>182</v>
      </c>
      <c r="AL55" s="173"/>
      <c r="AP55" s="173"/>
      <c r="AT55" s="173"/>
      <c r="AX55" s="173"/>
      <c r="BB55" s="173"/>
    </row>
    <row r="56" spans="2:54" ht="15.6" x14ac:dyDescent="0.3">
      <c r="F56" s="74"/>
      <c r="G56" s="74"/>
      <c r="H56" s="126"/>
      <c r="I56" s="126"/>
      <c r="J56" s="172">
        <v>155339.5</v>
      </c>
      <c r="K56" s="129"/>
      <c r="L56" s="126"/>
      <c r="M56" s="126"/>
      <c r="N56" s="172">
        <f>160239.58</f>
        <v>160239.57999999999</v>
      </c>
      <c r="O56" s="126"/>
      <c r="R56" s="172">
        <v>155339.5</v>
      </c>
      <c r="V56" s="172">
        <v>155339.5</v>
      </c>
      <c r="Z56" s="172">
        <v>155339.5</v>
      </c>
      <c r="AD56" s="172">
        <v>155339.5</v>
      </c>
      <c r="AH56" s="172">
        <v>155339.5</v>
      </c>
      <c r="AL56" s="173"/>
      <c r="AP56" s="173"/>
      <c r="AT56" s="173"/>
      <c r="AX56" s="173"/>
      <c r="BB56" s="173"/>
    </row>
    <row r="57" spans="2:54" ht="15.6" x14ac:dyDescent="0.3">
      <c r="F57" s="74"/>
      <c r="G57" s="74"/>
      <c r="H57" s="126"/>
      <c r="I57" s="126"/>
      <c r="J57" s="126"/>
      <c r="K57" s="129"/>
      <c r="L57" s="126"/>
      <c r="M57" s="126"/>
      <c r="N57" s="126"/>
      <c r="O57" s="126"/>
    </row>
    <row r="58" spans="2:54" ht="15.6" x14ac:dyDescent="0.3">
      <c r="F58" s="74"/>
      <c r="G58" s="74"/>
      <c r="H58" s="126"/>
      <c r="I58" s="126"/>
      <c r="J58" s="126"/>
      <c r="K58" s="129"/>
      <c r="L58" s="126"/>
      <c r="M58" s="126"/>
      <c r="N58" s="126"/>
      <c r="O58" s="126"/>
    </row>
    <row r="59" spans="2:54" ht="15.6" x14ac:dyDescent="0.3">
      <c r="I59" s="180" t="s">
        <v>183</v>
      </c>
      <c r="J59" s="179">
        <f>J47-J50-J53-J56</f>
        <v>-491688.05666666647</v>
      </c>
      <c r="K59" s="3"/>
      <c r="M59" s="180" t="s">
        <v>184</v>
      </c>
      <c r="N59" s="179">
        <f>N47-N50-N53-N56</f>
        <v>-252048.25666666636</v>
      </c>
      <c r="Q59" s="180" t="s">
        <v>185</v>
      </c>
      <c r="R59" s="179">
        <f>R47-R50-R53-R56</f>
        <v>90411.628333333414</v>
      </c>
      <c r="U59" s="180" t="s">
        <v>186</v>
      </c>
      <c r="V59" s="179">
        <f>V47-V50-V53-V56</f>
        <v>-209065.70166666666</v>
      </c>
      <c r="Y59" s="180" t="s">
        <v>187</v>
      </c>
      <c r="Z59" s="179">
        <f>Z47-Z50-Z53-Z56</f>
        <v>-188084.65166666638</v>
      </c>
      <c r="AC59" s="180" t="s">
        <v>188</v>
      </c>
      <c r="AD59" s="179">
        <f>AD47-AD50-AD53-AD56</f>
        <v>-277517.23166666651</v>
      </c>
      <c r="AG59" s="180" t="s">
        <v>189</v>
      </c>
      <c r="AH59" s="179">
        <f>AH47-AH50-AH53-AH56</f>
        <v>-27380.971666666388</v>
      </c>
      <c r="AL59" s="3">
        <f>AL47-AL53</f>
        <v>-929661.10166666633</v>
      </c>
      <c r="AP59" s="3">
        <f t="shared" ref="AP59" si="8">AP47-AP53</f>
        <v>-531890.24166666658</v>
      </c>
      <c r="AT59" s="3">
        <f t="shared" ref="AT59" si="9">AT47-AT53</f>
        <v>-531890.24166666658</v>
      </c>
      <c r="AX59" s="3">
        <f t="shared" ref="AX59" si="10">AX47-AX53</f>
        <v>-531890.24166666658</v>
      </c>
      <c r="BB59" s="3">
        <f t="shared" ref="BB59" si="11">BB47-BB53</f>
        <v>-531890.24166666658</v>
      </c>
    </row>
    <row r="60" spans="2:54" ht="15.6" x14ac:dyDescent="0.3">
      <c r="H60" s="197"/>
      <c r="I60" s="196"/>
      <c r="J60" s="198"/>
      <c r="K60" s="197"/>
      <c r="L60" s="197"/>
      <c r="M60" s="196"/>
      <c r="N60" s="198"/>
      <c r="O60" s="197"/>
      <c r="P60" s="197"/>
      <c r="Q60" s="196"/>
      <c r="R60" s="198"/>
      <c r="S60" s="197"/>
      <c r="T60" s="197"/>
      <c r="U60" s="196"/>
      <c r="V60" s="198"/>
      <c r="W60" s="197"/>
      <c r="X60" s="197"/>
      <c r="Y60" s="196"/>
      <c r="Z60" s="198"/>
      <c r="AA60" s="197"/>
      <c r="AB60" s="197"/>
      <c r="AC60" s="196"/>
      <c r="AD60" s="198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</row>
    <row r="61" spans="2:54" x14ac:dyDescent="0.3">
      <c r="K61" s="3"/>
    </row>
    <row r="62" spans="2:54" ht="15.6" x14ac:dyDescent="0.3">
      <c r="I62" s="180" t="s">
        <v>190</v>
      </c>
      <c r="J62" s="180">
        <f>SUM(F4:F43)</f>
        <v>490979.36166666669</v>
      </c>
      <c r="M62" s="180" t="s">
        <v>190</v>
      </c>
      <c r="N62" s="180">
        <v>490979.36</v>
      </c>
      <c r="Q62" s="180" t="s">
        <v>190</v>
      </c>
      <c r="R62" s="180">
        <v>490979.36</v>
      </c>
      <c r="U62" s="180" t="s">
        <v>190</v>
      </c>
      <c r="V62" s="180">
        <v>490979.36</v>
      </c>
      <c r="Y62" s="180" t="s">
        <v>190</v>
      </c>
      <c r="Z62" s="180">
        <v>490979.36</v>
      </c>
      <c r="AC62" s="180" t="s">
        <v>190</v>
      </c>
      <c r="AD62" s="180">
        <v>490979.36</v>
      </c>
      <c r="AG62" s="180" t="s">
        <v>190</v>
      </c>
      <c r="AH62" s="180">
        <v>490979.36</v>
      </c>
    </row>
    <row r="63" spans="2:54" ht="15.6" x14ac:dyDescent="0.3">
      <c r="I63" s="180" t="s">
        <v>191</v>
      </c>
      <c r="J63" s="194">
        <f>J59+J62</f>
        <v>-708.69499999977415</v>
      </c>
      <c r="M63" s="180" t="s">
        <v>191</v>
      </c>
      <c r="N63" s="195">
        <f>N59+N62</f>
        <v>238931.10333333362</v>
      </c>
      <c r="Q63" s="180" t="s">
        <v>191</v>
      </c>
      <c r="R63" s="195">
        <f>R59+R62</f>
        <v>581390.9883333334</v>
      </c>
      <c r="U63" s="180" t="s">
        <v>191</v>
      </c>
      <c r="V63" s="195">
        <f>V59+V62</f>
        <v>281913.65833333333</v>
      </c>
      <c r="Y63" s="180" t="s">
        <v>191</v>
      </c>
      <c r="Z63" s="195">
        <f>Z59+Z62</f>
        <v>302894.7083333336</v>
      </c>
      <c r="AC63" s="180" t="s">
        <v>191</v>
      </c>
      <c r="AD63" s="195">
        <f>AD59+AD62</f>
        <v>213462.12833333347</v>
      </c>
      <c r="AG63" s="180" t="s">
        <v>191</v>
      </c>
      <c r="AH63" s="195">
        <f>AH59+AH62</f>
        <v>463598.3883333336</v>
      </c>
    </row>
    <row r="64" spans="2:54" ht="15.6" x14ac:dyDescent="0.3">
      <c r="AH64" s="182">
        <f>AF47-236334.98-60000</f>
        <v>797798.03</v>
      </c>
    </row>
    <row r="68" spans="8:12" ht="15.6" x14ac:dyDescent="0.3">
      <c r="H68" s="180" t="s">
        <v>191</v>
      </c>
      <c r="I68" s="199">
        <f>SUM(J59+N59+R59+V59+Z59+AD59+AH59)</f>
        <v>-1355373.2416666653</v>
      </c>
    </row>
    <row r="69" spans="8:12" ht="15.6" x14ac:dyDescent="0.3">
      <c r="I69" s="200"/>
    </row>
    <row r="70" spans="8:12" ht="15.6" x14ac:dyDescent="0.3">
      <c r="I70" s="200"/>
    </row>
    <row r="71" spans="8:12" ht="15.6" x14ac:dyDescent="0.3">
      <c r="H71" s="180" t="s">
        <v>192</v>
      </c>
      <c r="I71" s="199">
        <f>SUM(H47+L47+P47+T47+X47+AB47+AF47)</f>
        <v>5953533.3700000001</v>
      </c>
    </row>
    <row r="72" spans="8:12" ht="15.6" x14ac:dyDescent="0.3">
      <c r="I72" s="201"/>
    </row>
    <row r="73" spans="8:12" ht="15.6" x14ac:dyDescent="0.3">
      <c r="I73" s="200"/>
    </row>
    <row r="74" spans="8:12" ht="15.6" x14ac:dyDescent="0.3">
      <c r="H74" s="180" t="s">
        <v>193</v>
      </c>
      <c r="I74" s="202">
        <f>I71-1355373.24</f>
        <v>4598160.13</v>
      </c>
      <c r="L74" s="128"/>
    </row>
    <row r="75" spans="8:12" ht="15.6" x14ac:dyDescent="0.3">
      <c r="I75" s="200"/>
    </row>
    <row r="76" spans="8:12" ht="15.6" x14ac:dyDescent="0.3">
      <c r="I76" s="200"/>
    </row>
    <row r="77" spans="8:12" ht="15.6" x14ac:dyDescent="0.3">
      <c r="H77" s="180" t="s">
        <v>194</v>
      </c>
      <c r="I77" s="202">
        <f>I74*20%</f>
        <v>919632.02600000007</v>
      </c>
    </row>
    <row r="78" spans="8:12" ht="15.6" x14ac:dyDescent="0.3">
      <c r="I78" s="200"/>
    </row>
    <row r="79" spans="8:12" ht="15.6" x14ac:dyDescent="0.3">
      <c r="I79" s="200"/>
    </row>
    <row r="80" spans="8:12" ht="15.6" x14ac:dyDescent="0.3">
      <c r="H80" s="180" t="s">
        <v>195</v>
      </c>
      <c r="I80" s="202">
        <f>I74-I77</f>
        <v>3678528.1039999998</v>
      </c>
    </row>
    <row r="81" spans="8:9" ht="15.6" x14ac:dyDescent="0.3">
      <c r="I81" s="200"/>
    </row>
    <row r="82" spans="8:9" ht="15.6" x14ac:dyDescent="0.3">
      <c r="I82" s="200"/>
    </row>
    <row r="83" spans="8:9" ht="15.6" x14ac:dyDescent="0.3">
      <c r="H83" s="180" t="s">
        <v>196</v>
      </c>
      <c r="I83" s="202">
        <f>SUM(J63+N63+R63+V63+Z63+AD63+AH63)</f>
        <v>2081482.2800000012</v>
      </c>
    </row>
    <row r="84" spans="8:9" ht="15.6" x14ac:dyDescent="0.3">
      <c r="H84" s="196"/>
      <c r="I84" s="203"/>
    </row>
    <row r="85" spans="8:9" ht="15.6" x14ac:dyDescent="0.3">
      <c r="I85" s="200"/>
    </row>
    <row r="86" spans="8:9" ht="15.6" x14ac:dyDescent="0.3">
      <c r="H86" s="180" t="s">
        <v>197</v>
      </c>
      <c r="I86" s="202">
        <f>I83*2</f>
        <v>4162964.5600000024</v>
      </c>
    </row>
  </sheetData>
  <mergeCells count="14">
    <mergeCell ref="B2:F2"/>
    <mergeCell ref="A1:XFD1"/>
    <mergeCell ref="H2:J2"/>
    <mergeCell ref="L2:N2"/>
    <mergeCell ref="P2:R2"/>
    <mergeCell ref="T2:V2"/>
    <mergeCell ref="X2:Z2"/>
    <mergeCell ref="AB2:AD2"/>
    <mergeCell ref="AF2:AH2"/>
    <mergeCell ref="AJ2:AL2"/>
    <mergeCell ref="AN2:AP2"/>
    <mergeCell ref="AR2:AT2"/>
    <mergeCell ref="AV2:AX2"/>
    <mergeCell ref="AZ2:BB2"/>
  </mergeCells>
  <conditionalFormatting sqref="I68">
    <cfRule type="cellIs" priority="57" operator="lessThan">
      <formula>0</formula>
    </cfRule>
    <cfRule type="cellIs" dxfId="55" priority="56" operator="lessThan">
      <formula>0</formula>
    </cfRule>
    <cfRule type="cellIs" dxfId="54" priority="55" operator="greaterThan">
      <formula>0</formula>
    </cfRule>
  </conditionalFormatting>
  <conditionalFormatting sqref="I71">
    <cfRule type="cellIs" dxfId="53" priority="28" operator="greaterThan">
      <formula>0</formula>
    </cfRule>
    <cfRule type="cellIs" priority="30" operator="lessThan">
      <formula>0</formula>
    </cfRule>
    <cfRule type="cellIs" dxfId="52" priority="29" operator="lessThan">
      <formula>0</formula>
    </cfRule>
  </conditionalFormatting>
  <conditionalFormatting sqref="I74">
    <cfRule type="cellIs" priority="27" operator="lessThan">
      <formula>0</formula>
    </cfRule>
    <cfRule type="cellIs" dxfId="51" priority="26" operator="lessThan">
      <formula>0</formula>
    </cfRule>
    <cfRule type="cellIs" dxfId="50" priority="25" operator="greaterThan">
      <formula>0</formula>
    </cfRule>
  </conditionalFormatting>
  <conditionalFormatting sqref="I77">
    <cfRule type="cellIs" priority="24" operator="lessThan">
      <formula>0</formula>
    </cfRule>
    <cfRule type="cellIs" dxfId="49" priority="23" operator="lessThan">
      <formula>0</formula>
    </cfRule>
    <cfRule type="cellIs" dxfId="48" priority="22" operator="greaterThan">
      <formula>0</formula>
    </cfRule>
  </conditionalFormatting>
  <conditionalFormatting sqref="I80">
    <cfRule type="cellIs" dxfId="47" priority="19" operator="greaterThan">
      <formula>0</formula>
    </cfRule>
    <cfRule type="cellIs" dxfId="46" priority="20" operator="lessThan">
      <formula>0</formula>
    </cfRule>
    <cfRule type="cellIs" priority="21" operator="lessThan">
      <formula>0</formula>
    </cfRule>
  </conditionalFormatting>
  <conditionalFormatting sqref="I83:I84">
    <cfRule type="cellIs" priority="18" operator="lessThan">
      <formula>0</formula>
    </cfRule>
    <cfRule type="cellIs" dxfId="45" priority="17" operator="lessThan">
      <formula>0</formula>
    </cfRule>
    <cfRule type="cellIs" dxfId="44" priority="16" operator="greaterThan">
      <formula>0</formula>
    </cfRule>
  </conditionalFormatting>
  <conditionalFormatting sqref="I86">
    <cfRule type="cellIs" dxfId="43" priority="4" operator="greaterThan">
      <formula>0</formula>
    </cfRule>
    <cfRule type="cellIs" dxfId="42" priority="5" operator="lessThan">
      <formula>0</formula>
    </cfRule>
    <cfRule type="cellIs" priority="6" operator="lessThan">
      <formula>0</formula>
    </cfRule>
  </conditionalFormatting>
  <conditionalFormatting sqref="J47:J48">
    <cfRule type="cellIs" priority="113" operator="lessThan">
      <formula>0</formula>
    </cfRule>
    <cfRule type="cellIs" dxfId="41" priority="111" operator="greaterThan">
      <formula>0</formula>
    </cfRule>
    <cfRule type="cellIs" dxfId="40" priority="112" operator="lessThan">
      <formula>0</formula>
    </cfRule>
  </conditionalFormatting>
  <conditionalFormatting sqref="J59:L60 N59:P60 R59:R60 J61:R61">
    <cfRule type="cellIs" dxfId="39" priority="88" operator="greaterThan">
      <formula>0</formula>
    </cfRule>
    <cfRule type="cellIs" dxfId="38" priority="89" operator="lessThan">
      <formula>0</formula>
    </cfRule>
    <cfRule type="cellIs" priority="90" operator="lessThan">
      <formula>0</formula>
    </cfRule>
  </conditionalFormatting>
  <conditionalFormatting sqref="N47:N48">
    <cfRule type="cellIs" dxfId="37" priority="109" operator="greaterThan">
      <formula>0</formula>
    </cfRule>
    <cfRule type="cellIs" dxfId="36" priority="110" operator="lessThan">
      <formula>0</formula>
    </cfRule>
  </conditionalFormatting>
  <conditionalFormatting sqref="R47:R48">
    <cfRule type="cellIs" dxfId="35" priority="108" operator="lessThan">
      <formula>0</formula>
    </cfRule>
    <cfRule type="cellIs" dxfId="34" priority="107" operator="greaterThan">
      <formula>0</formula>
    </cfRule>
  </conditionalFormatting>
  <conditionalFormatting sqref="V47:V48">
    <cfRule type="cellIs" dxfId="33" priority="105" operator="greaterThan">
      <formula>0</formula>
    </cfRule>
    <cfRule type="cellIs" dxfId="32" priority="106" operator="lessThan">
      <formula>0</formula>
    </cfRule>
  </conditionalFormatting>
  <conditionalFormatting sqref="V59:V61">
    <cfRule type="cellIs" priority="15" operator="lessThan">
      <formula>0</formula>
    </cfRule>
    <cfRule type="cellIs" dxfId="31" priority="14" operator="lessThan">
      <formula>0</formula>
    </cfRule>
    <cfRule type="cellIs" dxfId="30" priority="13" operator="greaterThan">
      <formula>0</formula>
    </cfRule>
  </conditionalFormatting>
  <conditionalFormatting sqref="Z47:Z48">
    <cfRule type="cellIs" dxfId="29" priority="103" operator="greaterThan">
      <formula>0</formula>
    </cfRule>
    <cfRule type="cellIs" dxfId="28" priority="104" operator="lessThan">
      <formula>0</formula>
    </cfRule>
  </conditionalFormatting>
  <conditionalFormatting sqref="Z59:Z61">
    <cfRule type="cellIs" dxfId="27" priority="11" operator="lessThan">
      <formula>0</formula>
    </cfRule>
    <cfRule type="cellIs" priority="12" operator="lessThan">
      <formula>0</formula>
    </cfRule>
    <cfRule type="cellIs" dxfId="26" priority="10" operator="greaterThan">
      <formula>0</formula>
    </cfRule>
  </conditionalFormatting>
  <conditionalFormatting sqref="AD47:AD48">
    <cfRule type="cellIs" dxfId="25" priority="102" operator="lessThan">
      <formula>0</formula>
    </cfRule>
    <cfRule type="cellIs" dxfId="24" priority="101" operator="greaterThan">
      <formula>0</formula>
    </cfRule>
  </conditionalFormatting>
  <conditionalFormatting sqref="AD59:AD61">
    <cfRule type="cellIs" dxfId="23" priority="8" operator="lessThan">
      <formula>0</formula>
    </cfRule>
    <cfRule type="cellIs" priority="9" operator="lessThan">
      <formula>0</formula>
    </cfRule>
    <cfRule type="cellIs" dxfId="22" priority="7" operator="greaterThan">
      <formula>0</formula>
    </cfRule>
  </conditionalFormatting>
  <conditionalFormatting sqref="AH47:AH48">
    <cfRule type="cellIs" dxfId="21" priority="100" operator="lessThan">
      <formula>0</formula>
    </cfRule>
    <cfRule type="cellIs" dxfId="20" priority="99" operator="greaterThan">
      <formula>0</formula>
    </cfRule>
  </conditionalFormatting>
  <conditionalFormatting sqref="AH59:AH61">
    <cfRule type="cellIs" dxfId="19" priority="1" operator="greaterThan">
      <formula>0</formula>
    </cfRule>
    <cfRule type="cellIs" priority="3" operator="lessThan">
      <formula>0</formula>
    </cfRule>
    <cfRule type="cellIs" dxfId="18" priority="2" operator="lessThan">
      <formula>0</formula>
    </cfRule>
  </conditionalFormatting>
  <conditionalFormatting sqref="AL47:AL48">
    <cfRule type="cellIs" dxfId="17" priority="97" operator="greaterThan">
      <formula>0</formula>
    </cfRule>
    <cfRule type="cellIs" dxfId="16" priority="98" operator="lessThan">
      <formula>0</formula>
    </cfRule>
  </conditionalFormatting>
  <conditionalFormatting sqref="AL59:AL61">
    <cfRule type="cellIs" dxfId="15" priority="73" operator="greaterThan">
      <formula>0</formula>
    </cfRule>
    <cfRule type="cellIs" priority="75" operator="lessThan">
      <formula>0</formula>
    </cfRule>
    <cfRule type="cellIs" dxfId="14" priority="74" operator="lessThan">
      <formula>0</formula>
    </cfRule>
  </conditionalFormatting>
  <conditionalFormatting sqref="AP59:AP61">
    <cfRule type="cellIs" dxfId="13" priority="70" operator="greaterThan">
      <formula>0</formula>
    </cfRule>
    <cfRule type="cellIs" dxfId="12" priority="71" operator="lessThan">
      <formula>0</formula>
    </cfRule>
    <cfRule type="cellIs" priority="72" operator="lessThan">
      <formula>0</formula>
    </cfRule>
  </conditionalFormatting>
  <conditionalFormatting sqref="AT47:AT48">
    <cfRule type="cellIs" dxfId="11" priority="95" operator="greaterThan">
      <formula>0</formula>
    </cfRule>
    <cfRule type="cellIs" dxfId="10" priority="96" operator="lessThan">
      <formula>0</formula>
    </cfRule>
  </conditionalFormatting>
  <conditionalFormatting sqref="AT59:AT61">
    <cfRule type="cellIs" dxfId="9" priority="67" operator="greaterThan">
      <formula>0</formula>
    </cfRule>
    <cfRule type="cellIs" dxfId="8" priority="68" operator="lessThan">
      <formula>0</formula>
    </cfRule>
    <cfRule type="cellIs" priority="69" operator="lessThan">
      <formula>0</formula>
    </cfRule>
  </conditionalFormatting>
  <conditionalFormatting sqref="AX47:AX48">
    <cfRule type="cellIs" dxfId="7" priority="94" operator="lessThan">
      <formula>0</formula>
    </cfRule>
    <cfRule type="cellIs" dxfId="6" priority="93" operator="greaterThan">
      <formula>0</formula>
    </cfRule>
  </conditionalFormatting>
  <conditionalFormatting sqref="AX59:AX61">
    <cfRule type="cellIs" dxfId="5" priority="64" operator="greaterThan">
      <formula>0</formula>
    </cfRule>
    <cfRule type="cellIs" dxfId="4" priority="65" operator="lessThan">
      <formula>0</formula>
    </cfRule>
    <cfRule type="cellIs" priority="66" operator="lessThan">
      <formula>0</formula>
    </cfRule>
  </conditionalFormatting>
  <conditionalFormatting sqref="BB47:BB48">
    <cfRule type="cellIs" dxfId="3" priority="92" operator="lessThan">
      <formula>0</formula>
    </cfRule>
    <cfRule type="cellIs" dxfId="2" priority="91" operator="greaterThan">
      <formula>0</formula>
    </cfRule>
  </conditionalFormatting>
  <conditionalFormatting sqref="BB59:BB61">
    <cfRule type="cellIs" dxfId="1" priority="62" operator="lessThan">
      <formula>0</formula>
    </cfRule>
    <cfRule type="cellIs" priority="63" operator="lessThan">
      <formula>0</formula>
    </cfRule>
    <cfRule type="cellIs" dxfId="0" priority="6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99"/>
  <sheetViews>
    <sheetView showGridLines="0" tabSelected="1" topLeftCell="A22" workbookViewId="0">
      <selection activeCell="E37" sqref="E37"/>
    </sheetView>
  </sheetViews>
  <sheetFormatPr defaultRowHeight="14.4" x14ac:dyDescent="0.3"/>
  <cols>
    <col min="1" max="1" width="12" customWidth="1"/>
    <col min="2" max="4" width="18" customWidth="1"/>
    <col min="5" max="5" width="24" customWidth="1"/>
  </cols>
  <sheetData>
    <row r="1" spans="1:5" x14ac:dyDescent="0.3">
      <c r="A1" s="246" t="s">
        <v>198</v>
      </c>
      <c r="B1" s="246"/>
      <c r="C1" s="246"/>
      <c r="D1" s="246"/>
      <c r="E1" s="209"/>
    </row>
    <row r="2" spans="1:5" x14ac:dyDescent="0.3">
      <c r="A2" s="204" t="s">
        <v>199</v>
      </c>
      <c r="B2" s="205" t="s">
        <v>200</v>
      </c>
      <c r="C2" s="205" t="s">
        <v>201</v>
      </c>
      <c r="D2" s="206" t="s">
        <v>129</v>
      </c>
      <c r="E2" s="210" t="s">
        <v>248</v>
      </c>
    </row>
    <row r="3" spans="1:5" x14ac:dyDescent="0.3">
      <c r="A3" s="208" t="s">
        <v>202</v>
      </c>
      <c r="B3" s="207">
        <f>IF('Machine Fixed Monthly Cost VS I'!H4="","",'Machine Fixed Monthly Cost VS I'!H4)</f>
        <v>21896</v>
      </c>
      <c r="C3" s="207">
        <f>IF('Machine Fixed Monthly Cost VS I'!I4="","",'Machine Fixed Monthly Cost VS I'!I4)</f>
        <v>23691.030000000002</v>
      </c>
      <c r="D3" s="207">
        <f>IF('Machine Fixed Monthly Cost VS I'!J4="","",'Machine Fixed Monthly Cost VS I'!J4)</f>
        <v>-1795.0300000000025</v>
      </c>
      <c r="E3" s="209">
        <f>IF('Monthly Running Cost'!D4="","",'Monthly Running Cost'!D4)</f>
        <v>1897.5</v>
      </c>
    </row>
    <row r="4" spans="1:5" x14ac:dyDescent="0.3">
      <c r="A4" s="208" t="s">
        <v>203</v>
      </c>
      <c r="B4" s="207">
        <f>IF('Machine Fixed Monthly Cost VS I'!L4="","",'Machine Fixed Monthly Cost VS I'!L4)</f>
        <v>55222.999999999993</v>
      </c>
      <c r="C4" s="207">
        <f>IF('Machine Fixed Monthly Cost VS I'!M4="","",'Machine Fixed Monthly Cost VS I'!M4)</f>
        <v>28665.230000000003</v>
      </c>
      <c r="D4" s="207">
        <f>IF('Machine Fixed Monthly Cost VS I'!N4="","",'Machine Fixed Monthly Cost VS I'!N4)</f>
        <v>26557.76999999999</v>
      </c>
      <c r="E4" s="209">
        <f>IF('Monthly Running Cost'!F4="","",'Monthly Running Cost'!F4)</f>
        <v>37327.25</v>
      </c>
    </row>
    <row r="5" spans="1:5" x14ac:dyDescent="0.3">
      <c r="A5" s="208" t="s">
        <v>204</v>
      </c>
      <c r="B5" s="207">
        <f>IF('Machine Fixed Monthly Cost VS I'!P4="","",'Machine Fixed Monthly Cost VS I'!P4)</f>
        <v>67781</v>
      </c>
      <c r="C5" s="207">
        <f>IF('Machine Fixed Monthly Cost VS I'!Q4="","",'Machine Fixed Monthly Cost VS I'!Q4)</f>
        <v>29149.730000000003</v>
      </c>
      <c r="D5" s="207">
        <f>IF('Machine Fixed Monthly Cost VS I'!R4="","",'Machine Fixed Monthly Cost VS I'!R4)</f>
        <v>38631.269999999997</v>
      </c>
      <c r="E5" s="209">
        <f>IF('Monthly Running Cost'!H4="","",'Monthly Running Cost'!H4)</f>
        <v>3160.1</v>
      </c>
    </row>
    <row r="6" spans="1:5" x14ac:dyDescent="0.3">
      <c r="A6" s="208" t="s">
        <v>205</v>
      </c>
      <c r="B6" s="207">
        <f>IF('Machine Fixed Monthly Cost VS I'!T4="","",'Machine Fixed Monthly Cost VS I'!T4)</f>
        <v>44758</v>
      </c>
      <c r="C6" s="207">
        <f>IF('Machine Fixed Monthly Cost VS I'!U4="","",'Machine Fixed Monthly Cost VS I'!U4)</f>
        <v>29537.33</v>
      </c>
      <c r="D6" s="207">
        <f>IF('Machine Fixed Monthly Cost VS I'!V4="","",'Machine Fixed Monthly Cost VS I'!V4)</f>
        <v>15220.669999999998</v>
      </c>
      <c r="E6" s="209">
        <f>IF('Monthly Running Cost'!J4="","",'Monthly Running Cost'!J4)</f>
        <v>451.05</v>
      </c>
    </row>
    <row r="7" spans="1:5" x14ac:dyDescent="0.3">
      <c r="A7" s="208" t="s">
        <v>206</v>
      </c>
      <c r="B7" s="207">
        <f>IF('Machine Fixed Monthly Cost VS I'!X4="","",'Machine Fixed Monthly Cost VS I'!X4)</f>
        <v>49427</v>
      </c>
      <c r="C7" s="207">
        <f>IF('Machine Fixed Monthly Cost VS I'!Y4="","",'Machine Fixed Monthly Cost VS I'!Y4)</f>
        <v>30215.63</v>
      </c>
      <c r="D7" s="207">
        <f>IF('Machine Fixed Monthly Cost VS I'!Z4="","",'Machine Fixed Monthly Cost VS I'!Z4)</f>
        <v>19211.37</v>
      </c>
      <c r="E7" s="209" t="str">
        <f>IF('Monthly Running Cost'!L4="","",'Monthly Running Cost'!L4)</f>
        <v/>
      </c>
    </row>
    <row r="8" spans="1:5" x14ac:dyDescent="0.3">
      <c r="A8" s="208" t="s">
        <v>207</v>
      </c>
      <c r="B8" s="207">
        <f>IF('Machine Fixed Monthly Cost VS I'!AB4="","",'Machine Fixed Monthly Cost VS I'!AB4)</f>
        <v>49427</v>
      </c>
      <c r="C8" s="207">
        <f>IF('Machine Fixed Monthly Cost VS I'!AC4="","",'Machine Fixed Monthly Cost VS I'!AC4)</f>
        <v>29634.230000000003</v>
      </c>
      <c r="D8" s="207">
        <f>IF('Machine Fixed Monthly Cost VS I'!AD4="","",'Machine Fixed Monthly Cost VS I'!AD4)</f>
        <v>19792.769999999997</v>
      </c>
      <c r="E8" s="209" t="str">
        <f>IF('Monthly Running Cost'!N4="","",'Monthly Running Cost'!N4)</f>
        <v/>
      </c>
    </row>
    <row r="9" spans="1:5" x14ac:dyDescent="0.3">
      <c r="A9" s="208" t="s">
        <v>208</v>
      </c>
      <c r="B9" s="207">
        <f>IF('Machine Fixed Monthly Cost VS I'!AF4="","",'Machine Fixed Monthly Cost VS I'!AF4)</f>
        <v>68264</v>
      </c>
      <c r="C9" s="207">
        <f>IF('Machine Fixed Monthly Cost VS I'!AG4="","",'Machine Fixed Monthly Cost VS I'!AG4)</f>
        <v>29731.13</v>
      </c>
      <c r="D9" s="207">
        <f>IF('Machine Fixed Monthly Cost VS I'!AH4="","",'Machine Fixed Monthly Cost VS I'!AH4)</f>
        <v>38532.869999999995</v>
      </c>
      <c r="E9" s="209">
        <f>IF('Monthly Running Cost'!P4="","",'Monthly Running Cost'!P4)</f>
        <v>28181.52</v>
      </c>
    </row>
    <row r="10" spans="1:5" x14ac:dyDescent="0.3">
      <c r="A10" s="208" t="s">
        <v>209</v>
      </c>
      <c r="B10" s="207" t="str">
        <f>IF('Machine Fixed Monthly Cost VS I'!AJ4="","",'Machine Fixed Monthly Cost VS I'!AJ4)</f>
        <v/>
      </c>
      <c r="C10" s="207">
        <f>IF('Machine Fixed Monthly Cost VS I'!AK4="","",'Machine Fixed Monthly Cost VS I'!AK4)</f>
        <v>30893.93</v>
      </c>
      <c r="D10" s="207">
        <f>IF('Machine Fixed Monthly Cost VS I'!AL4="","",'Machine Fixed Monthly Cost VS I'!AL4)</f>
        <v>-30893.93</v>
      </c>
      <c r="E10" s="209">
        <f>IF('Monthly Running Cost'!R4="","",'Monthly Running Cost'!R4)</f>
        <v>2195.4699999999998</v>
      </c>
    </row>
    <row r="11" spans="1:5" x14ac:dyDescent="0.3">
      <c r="A11" s="208" t="s">
        <v>210</v>
      </c>
      <c r="B11" s="207" t="str">
        <f>IF('Machine Fixed Monthly Cost VS I'!AN4="","",'Machine Fixed Monthly Cost VS I'!AN4)</f>
        <v/>
      </c>
      <c r="C11" s="207">
        <f>IF('Machine Fixed Monthly Cost VS I'!AO4="","",'Machine Fixed Monthly Cost VS I'!AO4)</f>
        <v>18070.830000000002</v>
      </c>
      <c r="D11" s="207" t="str">
        <f>IF('Machine Fixed Monthly Cost VS I'!AP4="","",'Machine Fixed Monthly Cost VS I'!AP4)</f>
        <v/>
      </c>
      <c r="E11" s="209" t="str">
        <f>IF('Monthly Running Cost'!T4="","",'Monthly Running Cost'!T4)</f>
        <v/>
      </c>
    </row>
    <row r="12" spans="1:5" x14ac:dyDescent="0.3">
      <c r="A12" s="208" t="s">
        <v>211</v>
      </c>
      <c r="B12" s="207" t="str">
        <f>IF('Machine Fixed Monthly Cost VS I'!AR4="","",'Machine Fixed Monthly Cost VS I'!AR4)</f>
        <v/>
      </c>
      <c r="C12" s="207">
        <f>IF('Machine Fixed Monthly Cost VS I'!AS4="","",'Machine Fixed Monthly Cost VS I'!AS4)</f>
        <v>18070.830000000002</v>
      </c>
      <c r="D12" s="207" t="str">
        <f>IF('Machine Fixed Monthly Cost VS I'!AT4="","",'Machine Fixed Monthly Cost VS I'!AT4)</f>
        <v/>
      </c>
      <c r="E12" s="209" t="str">
        <f>IF('Monthly Running Cost'!V4="","",'Monthly Running Cost'!V4)</f>
        <v/>
      </c>
    </row>
    <row r="13" spans="1:5" x14ac:dyDescent="0.3">
      <c r="A13" s="208" t="s">
        <v>212</v>
      </c>
      <c r="B13" s="207" t="str">
        <f>IF('Machine Fixed Monthly Cost VS I'!AV4="","",'Machine Fixed Monthly Cost VS I'!AV4)</f>
        <v/>
      </c>
      <c r="C13" s="207">
        <f>IF('Machine Fixed Monthly Cost VS I'!AW4="","",'Machine Fixed Monthly Cost VS I'!AW4)</f>
        <v>18070.830000000002</v>
      </c>
      <c r="D13" s="207" t="str">
        <f>IF('Machine Fixed Monthly Cost VS I'!AX4="","",'Machine Fixed Monthly Cost VS I'!AX4)</f>
        <v/>
      </c>
      <c r="E13" s="209" t="str">
        <f>IF('Monthly Running Cost'!X4="","",'Monthly Running Cost'!X4)</f>
        <v/>
      </c>
    </row>
    <row r="14" spans="1:5" x14ac:dyDescent="0.3">
      <c r="A14" s="208" t="s">
        <v>213</v>
      </c>
      <c r="B14" s="207" t="str">
        <f>IF('Machine Fixed Monthly Cost VS I'!AZ4="","",'Machine Fixed Monthly Cost VS I'!AZ4)</f>
        <v/>
      </c>
      <c r="C14" s="207">
        <f>IF('Machine Fixed Monthly Cost VS I'!BA4="","",'Machine Fixed Monthly Cost VS I'!BA4)</f>
        <v>18070.830000000002</v>
      </c>
      <c r="D14" s="207" t="str">
        <f>IF('Machine Fixed Monthly Cost VS I'!BB4="","",'Machine Fixed Monthly Cost VS I'!BB4)</f>
        <v/>
      </c>
      <c r="E14" s="209" t="str">
        <f>IF('Monthly Running Cost'!Z4="","",'Monthly Running Cost'!Z4)</f>
        <v/>
      </c>
    </row>
    <row r="15" spans="1:5" x14ac:dyDescent="0.3">
      <c r="E15" s="209"/>
    </row>
    <row r="16" spans="1:5" x14ac:dyDescent="0.3">
      <c r="A16" s="246" t="s">
        <v>214</v>
      </c>
      <c r="B16" s="246"/>
      <c r="C16" s="246"/>
      <c r="D16" s="246"/>
      <c r="E16" s="209"/>
    </row>
    <row r="17" spans="1:5" x14ac:dyDescent="0.3">
      <c r="A17" s="204" t="s">
        <v>199</v>
      </c>
      <c r="B17" s="205" t="s">
        <v>200</v>
      </c>
      <c r="C17" s="205" t="s">
        <v>201</v>
      </c>
      <c r="D17" s="206" t="s">
        <v>129</v>
      </c>
      <c r="E17" s="210" t="s">
        <v>248</v>
      </c>
    </row>
    <row r="18" spans="1:5" x14ac:dyDescent="0.3">
      <c r="A18" s="208" t="s">
        <v>202</v>
      </c>
      <c r="B18" s="207" t="str">
        <f>IF('Machine Fixed Monthly Cost VS I'!H5="","",'Machine Fixed Monthly Cost VS I'!H5)</f>
        <v/>
      </c>
      <c r="C18" s="207">
        <f>IF('Machine Fixed Monthly Cost VS I'!I5="","",'Machine Fixed Monthly Cost VS I'!I5)</f>
        <v>35432.899999999994</v>
      </c>
      <c r="D18" s="207">
        <f>IF('Machine Fixed Monthly Cost VS I'!J5="","",'Machine Fixed Monthly Cost VS I'!J5)</f>
        <v>-35432.899999999994</v>
      </c>
      <c r="E18" s="209" t="str">
        <f>IF('Monthly Running Cost'!D5="","",'Monthly Running Cost'!D5)</f>
        <v/>
      </c>
    </row>
    <row r="19" spans="1:5" x14ac:dyDescent="0.3">
      <c r="A19" s="208" t="s">
        <v>203</v>
      </c>
      <c r="B19" s="207" t="str">
        <f>IF('Machine Fixed Monthly Cost VS I'!L5="","",'Machine Fixed Monthly Cost VS I'!L5)</f>
        <v/>
      </c>
      <c r="C19" s="207">
        <f>IF('Machine Fixed Monthly Cost VS I'!M5="","",'Machine Fixed Monthly Cost VS I'!M5)</f>
        <v>41102.43</v>
      </c>
      <c r="D19" s="207">
        <f>IF('Machine Fixed Monthly Cost VS I'!N5="","",'Machine Fixed Monthly Cost VS I'!N5)</f>
        <v>-41102.43</v>
      </c>
      <c r="E19" s="209" t="str">
        <f>IF('Monthly Running Cost'!F5="","",'Monthly Running Cost'!F5)</f>
        <v/>
      </c>
    </row>
    <row r="20" spans="1:5" x14ac:dyDescent="0.3">
      <c r="A20" s="208" t="s">
        <v>204</v>
      </c>
      <c r="B20" s="207" t="str">
        <f>IF('Machine Fixed Monthly Cost VS I'!P5="","",'Machine Fixed Monthly Cost VS I'!P5)</f>
        <v/>
      </c>
      <c r="C20" s="207">
        <f>IF('Machine Fixed Monthly Cost VS I'!Q5="","",'Machine Fixed Monthly Cost VS I'!Q5)</f>
        <v>35619.81</v>
      </c>
      <c r="D20" s="207">
        <f>IF('Machine Fixed Monthly Cost VS I'!R5="","",'Machine Fixed Monthly Cost VS I'!R5)</f>
        <v>-35619.81</v>
      </c>
      <c r="E20" s="209">
        <f>IF('Monthly Running Cost'!H5="","",'Monthly Running Cost'!H5)</f>
        <v>7374</v>
      </c>
    </row>
    <row r="21" spans="1:5" x14ac:dyDescent="0.3">
      <c r="A21" s="208" t="s">
        <v>205</v>
      </c>
      <c r="B21" s="207" t="str">
        <f>IF('Machine Fixed Monthly Cost VS I'!T5="","",'Machine Fixed Monthly Cost VS I'!T5)</f>
        <v/>
      </c>
      <c r="C21" s="207">
        <f>IF('Machine Fixed Monthly Cost VS I'!U5="","",'Machine Fixed Monthly Cost VS I'!U5)</f>
        <v>40209.42</v>
      </c>
      <c r="D21" s="207">
        <f>IF('Machine Fixed Monthly Cost VS I'!V5="","",'Machine Fixed Monthly Cost VS I'!V5)</f>
        <v>-40209.42</v>
      </c>
      <c r="E21" s="209">
        <f>IF('Monthly Running Cost'!J5="","",'Monthly Running Cost'!J5)</f>
        <v>13096.9</v>
      </c>
    </row>
    <row r="22" spans="1:5" x14ac:dyDescent="0.3">
      <c r="A22" s="208" t="s">
        <v>206</v>
      </c>
      <c r="B22" s="207" t="str">
        <f>IF('Machine Fixed Monthly Cost VS I'!X5="","",'Machine Fixed Monthly Cost VS I'!X5)</f>
        <v/>
      </c>
      <c r="C22" s="207">
        <f>IF('Machine Fixed Monthly Cost VS I'!Y5="","",'Machine Fixed Monthly Cost VS I'!Y5)</f>
        <v>41725.449999999997</v>
      </c>
      <c r="D22" s="207">
        <f>IF('Machine Fixed Monthly Cost VS I'!Z5="","",'Machine Fixed Monthly Cost VS I'!Z5)</f>
        <v>-41725.449999999997</v>
      </c>
      <c r="E22" s="209">
        <f>IF('Monthly Running Cost'!L5="","",'Monthly Running Cost'!L5)</f>
        <v>25176.9</v>
      </c>
    </row>
    <row r="23" spans="1:5" x14ac:dyDescent="0.3">
      <c r="A23" s="208" t="s">
        <v>207</v>
      </c>
      <c r="B23" s="207" t="str">
        <f>IF('Machine Fixed Monthly Cost VS I'!AB5="","",'Machine Fixed Monthly Cost VS I'!AB5)</f>
        <v/>
      </c>
      <c r="C23" s="207">
        <f>IF('Machine Fixed Monthly Cost VS I'!AC5="","",'Machine Fixed Monthly Cost VS I'!AC5)</f>
        <v>43573.759999999995</v>
      </c>
      <c r="D23" s="207">
        <f>IF('Machine Fixed Monthly Cost VS I'!AD5="","",'Machine Fixed Monthly Cost VS I'!AD5)</f>
        <v>-43573.759999999995</v>
      </c>
      <c r="E23" s="209">
        <f>IF('Monthly Running Cost'!N5="","",'Monthly Running Cost'!N5)</f>
        <v>956.02</v>
      </c>
    </row>
    <row r="24" spans="1:5" x14ac:dyDescent="0.3">
      <c r="A24" s="208" t="s">
        <v>208</v>
      </c>
      <c r="B24" s="207" t="str">
        <f>IF('Machine Fixed Monthly Cost VS I'!AF5="","",'Machine Fixed Monthly Cost VS I'!AF5)</f>
        <v/>
      </c>
      <c r="C24" s="207">
        <f>IF('Machine Fixed Monthly Cost VS I'!AG5="","",'Machine Fixed Monthly Cost VS I'!AG5)</f>
        <v>41164.729999999996</v>
      </c>
      <c r="D24" s="207">
        <f>IF('Machine Fixed Monthly Cost VS I'!AH5="","",'Machine Fixed Monthly Cost VS I'!AH5)</f>
        <v>-41164.729999999996</v>
      </c>
      <c r="E24" s="209">
        <f>IF('Monthly Running Cost'!P5="","",'Monthly Running Cost'!P5)</f>
        <v>36443.5</v>
      </c>
    </row>
    <row r="25" spans="1:5" x14ac:dyDescent="0.3">
      <c r="A25" s="208" t="s">
        <v>209</v>
      </c>
      <c r="B25" s="207" t="str">
        <f>IF('Machine Fixed Monthly Cost VS I'!AJ5="","",'Machine Fixed Monthly Cost VS I'!AJ5)</f>
        <v/>
      </c>
      <c r="C25" s="207">
        <f>IF('Machine Fixed Monthly Cost VS I'!AK5="","",'Machine Fixed Monthly Cost VS I'!AK5)</f>
        <v>41455.47</v>
      </c>
      <c r="D25" s="207">
        <f>IF('Machine Fixed Monthly Cost VS I'!AL5="","",'Machine Fixed Monthly Cost VS I'!AL5)</f>
        <v>-41455.47</v>
      </c>
      <c r="E25" s="209">
        <f>IF('Monthly Running Cost'!R5="","",'Monthly Running Cost'!R5)</f>
        <v>78491.539999999994</v>
      </c>
    </row>
    <row r="26" spans="1:5" x14ac:dyDescent="0.3">
      <c r="A26" s="208" t="s">
        <v>210</v>
      </c>
      <c r="B26" s="207" t="str">
        <f>IF('Machine Fixed Monthly Cost VS I'!AN5="","",'Machine Fixed Monthly Cost VS I'!AN5)</f>
        <v/>
      </c>
      <c r="C26" s="207">
        <f>IF('Machine Fixed Monthly Cost VS I'!AO5="","",'Machine Fixed Monthly Cost VS I'!AO5)</f>
        <v>24779.17</v>
      </c>
      <c r="D26" s="207" t="str">
        <f>IF('Machine Fixed Monthly Cost VS I'!AP5="","",'Machine Fixed Monthly Cost VS I'!AP5)</f>
        <v/>
      </c>
      <c r="E26" s="209" t="str">
        <f>IF('Monthly Running Cost'!T5="","",'Monthly Running Cost'!T5)</f>
        <v/>
      </c>
    </row>
    <row r="27" spans="1:5" x14ac:dyDescent="0.3">
      <c r="A27" s="208" t="s">
        <v>211</v>
      </c>
      <c r="B27" s="207" t="str">
        <f>IF('Machine Fixed Monthly Cost VS I'!AR5="","",'Machine Fixed Monthly Cost VS I'!AR5)</f>
        <v/>
      </c>
      <c r="C27" s="207">
        <f>IF('Machine Fixed Monthly Cost VS I'!AS5="","",'Machine Fixed Monthly Cost VS I'!AS5)</f>
        <v>24779.17</v>
      </c>
      <c r="D27" s="207" t="str">
        <f>IF('Machine Fixed Monthly Cost VS I'!AT5="","",'Machine Fixed Monthly Cost VS I'!AT5)</f>
        <v/>
      </c>
      <c r="E27" s="209" t="str">
        <f>IF('Monthly Running Cost'!V5="","",'Monthly Running Cost'!V5)</f>
        <v/>
      </c>
    </row>
    <row r="28" spans="1:5" x14ac:dyDescent="0.3">
      <c r="A28" s="208" t="s">
        <v>212</v>
      </c>
      <c r="B28" s="207" t="str">
        <f>IF('Machine Fixed Monthly Cost VS I'!AV5="","",'Machine Fixed Monthly Cost VS I'!AV5)</f>
        <v/>
      </c>
      <c r="C28" s="207">
        <f>IF('Machine Fixed Monthly Cost VS I'!AW5="","",'Machine Fixed Monthly Cost VS I'!AW5)</f>
        <v>24779.17</v>
      </c>
      <c r="D28" s="207" t="str">
        <f>IF('Machine Fixed Monthly Cost VS I'!AX5="","",'Machine Fixed Monthly Cost VS I'!AX5)</f>
        <v/>
      </c>
      <c r="E28" s="209" t="str">
        <f>IF('Monthly Running Cost'!X5="","",'Monthly Running Cost'!X5)</f>
        <v/>
      </c>
    </row>
    <row r="29" spans="1:5" x14ac:dyDescent="0.3">
      <c r="A29" s="208" t="s">
        <v>213</v>
      </c>
      <c r="B29" s="207" t="str">
        <f>IF('Machine Fixed Monthly Cost VS I'!AZ5="","",'Machine Fixed Monthly Cost VS I'!AZ5)</f>
        <v/>
      </c>
      <c r="C29" s="207">
        <f>IF('Machine Fixed Monthly Cost VS I'!BA5="","",'Machine Fixed Monthly Cost VS I'!BA5)</f>
        <v>24779.17</v>
      </c>
      <c r="D29" s="207" t="str">
        <f>IF('Machine Fixed Monthly Cost VS I'!BB5="","",'Machine Fixed Monthly Cost VS I'!BB5)</f>
        <v/>
      </c>
      <c r="E29" s="209" t="str">
        <f>IF('Monthly Running Cost'!Z5="","",'Monthly Running Cost'!Z5)</f>
        <v/>
      </c>
    </row>
    <row r="30" spans="1:5" x14ac:dyDescent="0.3">
      <c r="E30" s="209"/>
    </row>
    <row r="31" spans="1:5" x14ac:dyDescent="0.3">
      <c r="A31" s="246" t="s">
        <v>215</v>
      </c>
      <c r="B31" s="246"/>
      <c r="C31" s="246"/>
      <c r="D31" s="246"/>
      <c r="E31" s="209"/>
    </row>
    <row r="32" spans="1:5" x14ac:dyDescent="0.3">
      <c r="A32" s="204" t="s">
        <v>199</v>
      </c>
      <c r="B32" s="205" t="s">
        <v>200</v>
      </c>
      <c r="C32" s="205" t="s">
        <v>201</v>
      </c>
      <c r="D32" s="206" t="s">
        <v>129</v>
      </c>
      <c r="E32" s="210" t="s">
        <v>248</v>
      </c>
    </row>
    <row r="33" spans="1:5" x14ac:dyDescent="0.3">
      <c r="A33" s="208" t="s">
        <v>202</v>
      </c>
      <c r="B33" s="207">
        <f>IF('Machine Fixed Monthly Cost VS I'!H6="","",'Machine Fixed Monthly Cost VS I'!H6)</f>
        <v>14006.999999999998</v>
      </c>
      <c r="C33" s="207">
        <f>IF('Machine Fixed Monthly Cost VS I'!I6="","",'Machine Fixed Monthly Cost VS I'!I6)</f>
        <v>24508.030000000002</v>
      </c>
      <c r="D33" s="207">
        <f>IF('Machine Fixed Monthly Cost VS I'!J6="","",'Machine Fixed Monthly Cost VS I'!J6)</f>
        <v>-10501.030000000004</v>
      </c>
      <c r="E33" s="209">
        <f>IF('Monthly Running Cost'!D6="","",'Monthly Running Cost'!D6)</f>
        <v>9776.34</v>
      </c>
    </row>
    <row r="34" spans="1:5" x14ac:dyDescent="0.3">
      <c r="A34" s="208" t="s">
        <v>203</v>
      </c>
      <c r="B34" s="207">
        <f>IF('Machine Fixed Monthly Cost VS I'!L6="","",'Machine Fixed Monthly Cost VS I'!L6)</f>
        <v>48299.999999999993</v>
      </c>
      <c r="C34" s="207">
        <f>IF('Machine Fixed Monthly Cost VS I'!M6="","",'Machine Fixed Monthly Cost VS I'!M6)</f>
        <v>32444.81</v>
      </c>
      <c r="D34" s="207">
        <f>IF('Machine Fixed Monthly Cost VS I'!N6="","",'Machine Fixed Monthly Cost VS I'!N6)</f>
        <v>15855.189999999991</v>
      </c>
      <c r="E34" s="209">
        <f>IF('Monthly Running Cost'!F6="","",'Monthly Running Cost'!F6)</f>
        <v>1655.8</v>
      </c>
    </row>
    <row r="35" spans="1:5" x14ac:dyDescent="0.3">
      <c r="A35" s="208" t="s">
        <v>204</v>
      </c>
      <c r="B35" s="207">
        <f>IF('Machine Fixed Monthly Cost VS I'!P6="","",'Machine Fixed Monthly Cost VS I'!P6)</f>
        <v>65365.999999999993</v>
      </c>
      <c r="C35" s="207">
        <f>IF('Machine Fixed Monthly Cost VS I'!Q6="","",'Machine Fixed Monthly Cost VS I'!Q6)</f>
        <v>30616.06</v>
      </c>
      <c r="D35" s="207">
        <f>IF('Machine Fixed Monthly Cost VS I'!R6="","",'Machine Fixed Monthly Cost VS I'!R6)</f>
        <v>34749.939999999988</v>
      </c>
      <c r="E35" s="209" t="str">
        <f>IF('Monthly Running Cost'!H6="","",'Monthly Running Cost'!H6)</f>
        <v/>
      </c>
    </row>
    <row r="36" spans="1:5" x14ac:dyDescent="0.3">
      <c r="A36" s="208" t="s">
        <v>205</v>
      </c>
      <c r="B36" s="207">
        <f>IF('Machine Fixed Monthly Cost VS I'!T6="","",'Machine Fixed Monthly Cost VS I'!T6)</f>
        <v>31395</v>
      </c>
      <c r="C36" s="207">
        <f>IF('Machine Fixed Monthly Cost VS I'!U6="","",'Machine Fixed Monthly Cost VS I'!U6)</f>
        <v>30469.760000000002</v>
      </c>
      <c r="D36" s="207">
        <f>IF('Machine Fixed Monthly Cost VS I'!V6="","",'Machine Fixed Monthly Cost VS I'!V6)</f>
        <v>925.23999999999796</v>
      </c>
      <c r="E36" s="209">
        <f>IF('Monthly Running Cost'!J6="","",'Monthly Running Cost'!J6)</f>
        <v>767.86</v>
      </c>
    </row>
    <row r="37" spans="1:5" x14ac:dyDescent="0.3">
      <c r="A37" s="208" t="s">
        <v>206</v>
      </c>
      <c r="B37" s="207">
        <f>IF('Machine Fixed Monthly Cost VS I'!X6="","",'Machine Fixed Monthly Cost VS I'!X6)</f>
        <v>38479</v>
      </c>
      <c r="C37" s="207">
        <f>IF('Machine Fixed Monthly Cost VS I'!Y6="","",'Machine Fixed Monthly Cost VS I'!Y6)</f>
        <v>31512.14</v>
      </c>
      <c r="D37" s="207">
        <f>IF('Machine Fixed Monthly Cost VS I'!Z6="","",'Machine Fixed Monthly Cost VS I'!Z6)</f>
        <v>6966.8600000000006</v>
      </c>
      <c r="E37" s="209">
        <f>IF('Monthly Running Cost'!L6="","",'Monthly Running Cost'!L6)</f>
        <v>9313.119999999999</v>
      </c>
    </row>
    <row r="38" spans="1:5" x14ac:dyDescent="0.3">
      <c r="A38" s="208" t="s">
        <v>207</v>
      </c>
      <c r="B38" s="207">
        <f>IF('Machine Fixed Monthly Cost VS I'!AB6="","",'Machine Fixed Monthly Cost VS I'!AB6)</f>
        <v>55867</v>
      </c>
      <c r="C38" s="207">
        <f>IF('Machine Fixed Monthly Cost VS I'!AC6="","",'Machine Fixed Monthly Cost VS I'!AC6)</f>
        <v>33249.46</v>
      </c>
      <c r="D38" s="207">
        <f>IF('Machine Fixed Monthly Cost VS I'!AD6="","",'Machine Fixed Monthly Cost VS I'!AD6)</f>
        <v>22617.54</v>
      </c>
      <c r="E38" s="209">
        <f>IF('Monthly Running Cost'!N6="","",'Monthly Running Cost'!N6)</f>
        <v>21383.09</v>
      </c>
    </row>
    <row r="39" spans="1:5" x14ac:dyDescent="0.3">
      <c r="A39" s="208" t="s">
        <v>208</v>
      </c>
      <c r="B39" s="207">
        <f>IF('Machine Fixed Monthly Cost VS I'!AF6="","",'Machine Fixed Monthly Cost VS I'!AF6)</f>
        <v>9177</v>
      </c>
      <c r="C39" s="207">
        <f>IF('Machine Fixed Monthly Cost VS I'!AG6="","",'Machine Fixed Monthly Cost VS I'!AG6)</f>
        <v>30798.93</v>
      </c>
      <c r="D39" s="207">
        <f>IF('Machine Fixed Monthly Cost VS I'!AH6="","",'Machine Fixed Monthly Cost VS I'!AH6)</f>
        <v>-21621.93</v>
      </c>
      <c r="E39" s="209">
        <f>IF('Monthly Running Cost'!P6="","",'Monthly Running Cost'!P6)</f>
        <v>33024.550000000003</v>
      </c>
    </row>
    <row r="40" spans="1:5" x14ac:dyDescent="0.3">
      <c r="A40" s="208" t="s">
        <v>209</v>
      </c>
      <c r="B40" s="207">
        <f>IF('Machine Fixed Monthly Cost VS I'!AJ6="","",'Machine Fixed Monthly Cost VS I'!AJ6)</f>
        <v>50876</v>
      </c>
      <c r="C40" s="207">
        <f>IF('Machine Fixed Monthly Cost VS I'!AK6="","",'Machine Fixed Monthly Cost VS I'!AK6)</f>
        <v>34072.39</v>
      </c>
      <c r="D40" s="207">
        <f>IF('Machine Fixed Monthly Cost VS I'!AL6="","",'Machine Fixed Monthly Cost VS I'!AL6)</f>
        <v>16803.61</v>
      </c>
      <c r="E40" s="209">
        <f>IF('Monthly Running Cost'!R6="","",'Monthly Running Cost'!R6)</f>
        <v>4720.1400000000003</v>
      </c>
    </row>
    <row r="41" spans="1:5" x14ac:dyDescent="0.3">
      <c r="A41" s="208" t="s">
        <v>210</v>
      </c>
      <c r="B41" s="207" t="str">
        <f>IF('Machine Fixed Monthly Cost VS I'!AN6="","",'Machine Fixed Monthly Cost VS I'!AN6)</f>
        <v/>
      </c>
      <c r="C41" s="207">
        <f>IF('Machine Fixed Monthly Cost VS I'!AO6="","",'Machine Fixed Monthly Cost VS I'!AO6)</f>
        <v>18070.830000000002</v>
      </c>
      <c r="D41" s="207" t="str">
        <f>IF('Machine Fixed Monthly Cost VS I'!AP6="","",'Machine Fixed Monthly Cost VS I'!AP6)</f>
        <v/>
      </c>
      <c r="E41" s="209" t="str">
        <f>IF('Monthly Running Cost'!T6="","",'Monthly Running Cost'!T6)</f>
        <v/>
      </c>
    </row>
    <row r="42" spans="1:5" x14ac:dyDescent="0.3">
      <c r="A42" s="208" t="s">
        <v>211</v>
      </c>
      <c r="B42" s="207" t="str">
        <f>IF('Machine Fixed Monthly Cost VS I'!AR6="","",'Machine Fixed Monthly Cost VS I'!AR6)</f>
        <v/>
      </c>
      <c r="C42" s="207">
        <f>IF('Machine Fixed Monthly Cost VS I'!AS6="","",'Machine Fixed Monthly Cost VS I'!AS6)</f>
        <v>18070.830000000002</v>
      </c>
      <c r="D42" s="207" t="str">
        <f>IF('Machine Fixed Monthly Cost VS I'!AT6="","",'Machine Fixed Monthly Cost VS I'!AT6)</f>
        <v/>
      </c>
      <c r="E42" s="209" t="str">
        <f>IF('Monthly Running Cost'!V6="","",'Monthly Running Cost'!V6)</f>
        <v/>
      </c>
    </row>
    <row r="43" spans="1:5" x14ac:dyDescent="0.3">
      <c r="A43" s="208" t="s">
        <v>212</v>
      </c>
      <c r="B43" s="207" t="str">
        <f>IF('Machine Fixed Monthly Cost VS I'!AV6="","",'Machine Fixed Monthly Cost VS I'!AV6)</f>
        <v/>
      </c>
      <c r="C43" s="207">
        <f>IF('Machine Fixed Monthly Cost VS I'!AW6="","",'Machine Fixed Monthly Cost VS I'!AW6)</f>
        <v>18070.830000000002</v>
      </c>
      <c r="D43" s="207" t="str">
        <f>IF('Machine Fixed Monthly Cost VS I'!AX6="","",'Machine Fixed Monthly Cost VS I'!AX6)</f>
        <v/>
      </c>
      <c r="E43" s="209" t="str">
        <f>IF('Monthly Running Cost'!X6="","",'Monthly Running Cost'!X6)</f>
        <v/>
      </c>
    </row>
    <row r="44" spans="1:5" x14ac:dyDescent="0.3">
      <c r="A44" s="208" t="s">
        <v>213</v>
      </c>
      <c r="B44" s="207" t="str">
        <f>IF('Machine Fixed Monthly Cost VS I'!AZ6="","",'Machine Fixed Monthly Cost VS I'!AZ6)</f>
        <v/>
      </c>
      <c r="C44" s="207">
        <f>IF('Machine Fixed Monthly Cost VS I'!BA6="","",'Machine Fixed Monthly Cost VS I'!BA6)</f>
        <v>18070.830000000002</v>
      </c>
      <c r="D44" s="207" t="str">
        <f>IF('Machine Fixed Monthly Cost VS I'!BB6="","",'Machine Fixed Monthly Cost VS I'!BB6)</f>
        <v/>
      </c>
      <c r="E44" s="209" t="str">
        <f>IF('Monthly Running Cost'!Z6="","",'Monthly Running Cost'!Z6)</f>
        <v/>
      </c>
    </row>
    <row r="45" spans="1:5" x14ac:dyDescent="0.3">
      <c r="E45" s="209"/>
    </row>
    <row r="46" spans="1:5" x14ac:dyDescent="0.3">
      <c r="A46" s="246" t="s">
        <v>216</v>
      </c>
      <c r="B46" s="246"/>
      <c r="C46" s="246"/>
      <c r="D46" s="246"/>
      <c r="E46" s="209"/>
    </row>
    <row r="47" spans="1:5" x14ac:dyDescent="0.3">
      <c r="A47" s="204" t="s">
        <v>199</v>
      </c>
      <c r="B47" s="205" t="s">
        <v>200</v>
      </c>
      <c r="C47" s="205" t="s">
        <v>201</v>
      </c>
      <c r="D47" s="206" t="s">
        <v>129</v>
      </c>
      <c r="E47" s="210" t="s">
        <v>248</v>
      </c>
    </row>
    <row r="48" spans="1:5" x14ac:dyDescent="0.3">
      <c r="A48" s="208" t="s">
        <v>202</v>
      </c>
      <c r="B48" s="207">
        <f>IF('Machine Fixed Monthly Cost VS I'!H7="","",'Machine Fixed Monthly Cost VS I'!H7)</f>
        <v>33327</v>
      </c>
      <c r="C48" s="207">
        <f>IF('Machine Fixed Monthly Cost VS I'!I7="","",'Machine Fixed Monthly Cost VS I'!I7)</f>
        <v>27045.200000000001</v>
      </c>
      <c r="D48" s="207">
        <f>IF('Machine Fixed Monthly Cost VS I'!J7="","",'Machine Fixed Monthly Cost VS I'!J7)</f>
        <v>6281.7999999999993</v>
      </c>
      <c r="E48" s="209">
        <f>IF('Monthly Running Cost'!D7="","",'Monthly Running Cost'!D7)</f>
        <v>1473.7199999999998</v>
      </c>
    </row>
    <row r="49" spans="1:5" x14ac:dyDescent="0.3">
      <c r="A49" s="208" t="s">
        <v>203</v>
      </c>
      <c r="B49" s="207">
        <f>IF('Machine Fixed Monthly Cost VS I'!L7="","",'Machine Fixed Monthly Cost VS I'!L7)</f>
        <v>53612.999999999993</v>
      </c>
      <c r="C49" s="207">
        <f>IF('Machine Fixed Monthly Cost VS I'!M7="","",'Machine Fixed Monthly Cost VS I'!M7)</f>
        <v>34151.199999999997</v>
      </c>
      <c r="D49" s="207">
        <f>IF('Machine Fixed Monthly Cost VS I'!N7="","",'Machine Fixed Monthly Cost VS I'!N7)</f>
        <v>19461.799999999996</v>
      </c>
      <c r="E49" s="209">
        <f>IF('Monthly Running Cost'!F7="","",'Monthly Running Cost'!F7)</f>
        <v>12790.3</v>
      </c>
    </row>
    <row r="50" spans="1:5" x14ac:dyDescent="0.3">
      <c r="A50" s="208" t="s">
        <v>204</v>
      </c>
      <c r="B50" s="207">
        <f>IF('Machine Fixed Monthly Cost VS I'!P7="","",'Machine Fixed Monthly Cost VS I'!P7)</f>
        <v>40089</v>
      </c>
      <c r="C50" s="207">
        <f>IF('Machine Fixed Monthly Cost VS I'!Q7="","",'Machine Fixed Monthly Cost VS I'!Q7)</f>
        <v>32180.9</v>
      </c>
      <c r="D50" s="207">
        <f>IF('Machine Fixed Monthly Cost VS I'!R7="","",'Machine Fixed Monthly Cost VS I'!R7)</f>
        <v>7908.0999999999985</v>
      </c>
      <c r="E50" s="209">
        <f>IF('Monthly Running Cost'!H7="","",'Monthly Running Cost'!H7)</f>
        <v>15922.25</v>
      </c>
    </row>
    <row r="51" spans="1:5" x14ac:dyDescent="0.3">
      <c r="A51" s="208" t="s">
        <v>205</v>
      </c>
      <c r="B51" s="207">
        <f>IF('Machine Fixed Monthly Cost VS I'!T7="","",'Machine Fixed Monthly Cost VS I'!T7)</f>
        <v>50071</v>
      </c>
      <c r="C51" s="207">
        <f>IF('Machine Fixed Monthly Cost VS I'!U7="","",'Machine Fixed Monthly Cost VS I'!U7)</f>
        <v>33262.949999999997</v>
      </c>
      <c r="D51" s="207">
        <f>IF('Machine Fixed Monthly Cost VS I'!V7="","",'Machine Fixed Monthly Cost VS I'!V7)</f>
        <v>16808.050000000003</v>
      </c>
      <c r="E51" s="209" t="str">
        <f>IF('Monthly Running Cost'!J7="","",'Monthly Running Cost'!J7)</f>
        <v/>
      </c>
    </row>
    <row r="52" spans="1:5" x14ac:dyDescent="0.3">
      <c r="A52" s="208" t="s">
        <v>206</v>
      </c>
      <c r="B52" s="207">
        <f>IF('Machine Fixed Monthly Cost VS I'!X7="","",'Machine Fixed Monthly Cost VS I'!X7)</f>
        <v>56994</v>
      </c>
      <c r="C52" s="207">
        <f>IF('Machine Fixed Monthly Cost VS I'!Y7="","",'Machine Fixed Monthly Cost VS I'!Y7)</f>
        <v>35330.15</v>
      </c>
      <c r="D52" s="207">
        <f>IF('Machine Fixed Monthly Cost VS I'!Z7="","",'Machine Fixed Monthly Cost VS I'!Z7)</f>
        <v>21663.85</v>
      </c>
      <c r="E52" s="209">
        <f>IF('Monthly Running Cost'!L7="","",'Monthly Running Cost'!L7)</f>
        <v>7030.56</v>
      </c>
    </row>
    <row r="53" spans="1:5" x14ac:dyDescent="0.3">
      <c r="A53" s="208" t="s">
        <v>207</v>
      </c>
      <c r="B53" s="207">
        <f>IF('Machine Fixed Monthly Cost VS I'!AB7="","",'Machine Fixed Monthly Cost VS I'!AB7)</f>
        <v>44275</v>
      </c>
      <c r="C53" s="207">
        <f>IF('Machine Fixed Monthly Cost VS I'!AC7="","",'Machine Fixed Monthly Cost VS I'!AC7)</f>
        <v>35265.550000000003</v>
      </c>
      <c r="D53" s="207">
        <f>IF('Machine Fixed Monthly Cost VS I'!AD7="","",'Machine Fixed Monthly Cost VS I'!AD7)</f>
        <v>9009.4499999999971</v>
      </c>
      <c r="E53" s="209">
        <f>IF('Monthly Running Cost'!N7="","",'Monthly Running Cost'!N7)</f>
        <v>3800</v>
      </c>
    </row>
    <row r="54" spans="1:5" x14ac:dyDescent="0.3">
      <c r="A54" s="208" t="s">
        <v>208</v>
      </c>
      <c r="B54" s="207">
        <f>IF('Machine Fixed Monthly Cost VS I'!AF7="","",'Machine Fixed Monthly Cost VS I'!AF7)</f>
        <v>71484</v>
      </c>
      <c r="C54" s="207">
        <f>IF('Machine Fixed Monthly Cost VS I'!AG7="","",'Machine Fixed Monthly Cost VS I'!AG7)</f>
        <v>34587.25</v>
      </c>
      <c r="D54" s="207">
        <f>IF('Machine Fixed Monthly Cost VS I'!AH7="","",'Machine Fixed Monthly Cost VS I'!AH7)</f>
        <v>36896.75</v>
      </c>
      <c r="E54" s="209" t="str">
        <f>IF('Monthly Running Cost'!P7="","",'Monthly Running Cost'!P7)</f>
        <v/>
      </c>
    </row>
    <row r="55" spans="1:5" x14ac:dyDescent="0.3">
      <c r="A55" s="208" t="s">
        <v>209</v>
      </c>
      <c r="B55" s="207">
        <f>IF('Machine Fixed Monthly Cost VS I'!AJ7="","",'Machine Fixed Monthly Cost VS I'!AJ7)</f>
        <v>50554</v>
      </c>
      <c r="C55" s="207">
        <f>IF('Machine Fixed Monthly Cost VS I'!AK7="","",'Machine Fixed Monthly Cost VS I'!AK7)</f>
        <v>34877.949999999997</v>
      </c>
      <c r="D55" s="207">
        <f>IF('Machine Fixed Monthly Cost VS I'!AL7="","",'Machine Fixed Monthly Cost VS I'!AL7)</f>
        <v>15676.050000000003</v>
      </c>
      <c r="E55" s="209">
        <f>IF('Monthly Running Cost'!R7="","",'Monthly Running Cost'!R7)</f>
        <v>2109.9499999999998</v>
      </c>
    </row>
    <row r="56" spans="1:5" x14ac:dyDescent="0.3">
      <c r="A56" s="208" t="s">
        <v>210</v>
      </c>
      <c r="B56" s="207" t="str">
        <f>IF('Machine Fixed Monthly Cost VS I'!AN7="","",'Machine Fixed Monthly Cost VS I'!AN7)</f>
        <v/>
      </c>
      <c r="C56" s="207">
        <f>IF('Machine Fixed Monthly Cost VS I'!AO7="","",'Machine Fixed Monthly Cost VS I'!AO7)</f>
        <v>21425</v>
      </c>
      <c r="D56" s="207" t="str">
        <f>IF('Machine Fixed Monthly Cost VS I'!AP7="","",'Machine Fixed Monthly Cost VS I'!AP7)</f>
        <v/>
      </c>
      <c r="E56" s="209" t="str">
        <f>IF('Monthly Running Cost'!T7="","",'Monthly Running Cost'!T7)</f>
        <v/>
      </c>
    </row>
    <row r="57" spans="1:5" x14ac:dyDescent="0.3">
      <c r="A57" s="208" t="s">
        <v>211</v>
      </c>
      <c r="B57" s="207" t="str">
        <f>IF('Machine Fixed Monthly Cost VS I'!AR7="","",'Machine Fixed Monthly Cost VS I'!AR7)</f>
        <v/>
      </c>
      <c r="C57" s="207">
        <f>IF('Machine Fixed Monthly Cost VS I'!AS7="","",'Machine Fixed Monthly Cost VS I'!AS7)</f>
        <v>21425</v>
      </c>
      <c r="D57" s="207" t="str">
        <f>IF('Machine Fixed Monthly Cost VS I'!AT7="","",'Machine Fixed Monthly Cost VS I'!AT7)</f>
        <v/>
      </c>
      <c r="E57" s="209" t="str">
        <f>IF('Monthly Running Cost'!V7="","",'Monthly Running Cost'!V7)</f>
        <v/>
      </c>
    </row>
    <row r="58" spans="1:5" x14ac:dyDescent="0.3">
      <c r="A58" s="208" t="s">
        <v>212</v>
      </c>
      <c r="B58" s="207" t="str">
        <f>IF('Machine Fixed Monthly Cost VS I'!AV7="","",'Machine Fixed Monthly Cost VS I'!AV7)</f>
        <v/>
      </c>
      <c r="C58" s="207">
        <f>IF('Machine Fixed Monthly Cost VS I'!AW7="","",'Machine Fixed Monthly Cost VS I'!AW7)</f>
        <v>21425</v>
      </c>
      <c r="D58" s="207" t="str">
        <f>IF('Machine Fixed Monthly Cost VS I'!AX7="","",'Machine Fixed Monthly Cost VS I'!AX7)</f>
        <v/>
      </c>
      <c r="E58" s="209" t="str">
        <f>IF('Monthly Running Cost'!X7="","",'Monthly Running Cost'!X7)</f>
        <v/>
      </c>
    </row>
    <row r="59" spans="1:5" x14ac:dyDescent="0.3">
      <c r="A59" s="208" t="s">
        <v>213</v>
      </c>
      <c r="B59" s="207" t="str">
        <f>IF('Machine Fixed Monthly Cost VS I'!AZ7="","",'Machine Fixed Monthly Cost VS I'!AZ7)</f>
        <v/>
      </c>
      <c r="C59" s="207">
        <f>IF('Machine Fixed Monthly Cost VS I'!BA7="","",'Machine Fixed Monthly Cost VS I'!BA7)</f>
        <v>21425</v>
      </c>
      <c r="D59" s="207" t="str">
        <f>IF('Machine Fixed Monthly Cost VS I'!BB7="","",'Machine Fixed Monthly Cost VS I'!BB7)</f>
        <v/>
      </c>
      <c r="E59" s="209" t="str">
        <f>IF('Monthly Running Cost'!Z7="","",'Monthly Running Cost'!Z7)</f>
        <v/>
      </c>
    </row>
    <row r="60" spans="1:5" x14ac:dyDescent="0.3">
      <c r="E60" s="209"/>
    </row>
    <row r="61" spans="1:5" x14ac:dyDescent="0.3">
      <c r="A61" s="246" t="s">
        <v>217</v>
      </c>
      <c r="B61" s="246"/>
      <c r="C61" s="246"/>
      <c r="D61" s="246"/>
      <c r="E61" s="209"/>
    </row>
    <row r="62" spans="1:5" x14ac:dyDescent="0.3">
      <c r="A62" s="204" t="s">
        <v>199</v>
      </c>
      <c r="B62" s="205" t="s">
        <v>200</v>
      </c>
      <c r="C62" s="205" t="s">
        <v>201</v>
      </c>
      <c r="D62" s="206" t="s">
        <v>129</v>
      </c>
      <c r="E62" s="210" t="s">
        <v>248</v>
      </c>
    </row>
    <row r="63" spans="1:5" x14ac:dyDescent="0.3">
      <c r="A63" s="208" t="s">
        <v>202</v>
      </c>
      <c r="B63" s="207">
        <f>IF('Machine Fixed Monthly Cost VS I'!H8="","",'Machine Fixed Monthly Cost VS I'!H8)</f>
        <v>33327</v>
      </c>
      <c r="C63" s="207">
        <f>IF('Machine Fixed Monthly Cost VS I'!I8="","",'Machine Fixed Monthly Cost VS I'!I8)</f>
        <v>57318.2</v>
      </c>
      <c r="D63" s="207">
        <f>IF('Machine Fixed Monthly Cost VS I'!J8="","",'Machine Fixed Monthly Cost VS I'!J8)</f>
        <v>-23991.199999999997</v>
      </c>
      <c r="E63" s="209">
        <f>IF('Monthly Running Cost'!D8="","",'Monthly Running Cost'!D8)</f>
        <v>3371.61</v>
      </c>
    </row>
    <row r="64" spans="1:5" x14ac:dyDescent="0.3">
      <c r="A64" s="208" t="s">
        <v>203</v>
      </c>
      <c r="B64" s="207">
        <f>IF('Machine Fixed Monthly Cost VS I'!L8="","",'Machine Fixed Monthly Cost VS I'!L8)</f>
        <v>53290.999999999993</v>
      </c>
      <c r="C64" s="207">
        <f>IF('Machine Fixed Monthly Cost VS I'!M8="","",'Machine Fixed Monthly Cost VS I'!M8)</f>
        <v>62841.03</v>
      </c>
      <c r="D64" s="207">
        <f>IF('Machine Fixed Monthly Cost VS I'!N8="","",'Machine Fixed Monthly Cost VS I'!N8)</f>
        <v>-9550.0300000000061</v>
      </c>
      <c r="E64" s="209">
        <f>IF('Monthly Running Cost'!F8="","",'Monthly Running Cost'!F8)</f>
        <v>1439</v>
      </c>
    </row>
    <row r="65" spans="1:5" x14ac:dyDescent="0.3">
      <c r="A65" s="208" t="s">
        <v>204</v>
      </c>
      <c r="B65" s="207">
        <f>IF('Machine Fixed Monthly Cost VS I'!P8="","",'Machine Fixed Monthly Cost VS I'!P8)</f>
        <v>62306.999999999993</v>
      </c>
      <c r="C65" s="207">
        <f>IF('Machine Fixed Monthly Cost VS I'!Q8="","",'Machine Fixed Monthly Cost VS I'!Q8)</f>
        <v>64157.729999999996</v>
      </c>
      <c r="D65" s="207">
        <f>IF('Machine Fixed Monthly Cost VS I'!R8="","",'Machine Fixed Monthly Cost VS I'!R8)</f>
        <v>-1850.7300000000032</v>
      </c>
      <c r="E65" s="209">
        <f>IF('Monthly Running Cost'!H8="","",'Monthly Running Cost'!H8)</f>
        <v>2422.94</v>
      </c>
    </row>
    <row r="66" spans="1:5" x14ac:dyDescent="0.3">
      <c r="A66" s="208" t="s">
        <v>205</v>
      </c>
      <c r="B66" s="207">
        <f>IF('Machine Fixed Monthly Cost VS I'!T8="","",'Machine Fixed Monthly Cost VS I'!T8)</f>
        <v>44275</v>
      </c>
      <c r="C66" s="207">
        <f>IF('Machine Fixed Monthly Cost VS I'!U8="","",'Machine Fixed Monthly Cost VS I'!U8)</f>
        <v>63609.1</v>
      </c>
      <c r="D66" s="207">
        <f>IF('Machine Fixed Monthly Cost VS I'!V8="","",'Machine Fixed Monthly Cost VS I'!V8)</f>
        <v>-19334.099999999999</v>
      </c>
      <c r="E66" s="209">
        <f>IF('Monthly Running Cost'!J8="","",'Monthly Running Cost'!J8)</f>
        <v>4887.8500000000004</v>
      </c>
    </row>
    <row r="67" spans="1:5" x14ac:dyDescent="0.3">
      <c r="A67" s="208" t="s">
        <v>206</v>
      </c>
      <c r="B67" s="207">
        <f>IF('Machine Fixed Monthly Cost VS I'!X8="","",'Machine Fixed Monthly Cost VS I'!X8)</f>
        <v>49266</v>
      </c>
      <c r="C67" s="207">
        <f>IF('Machine Fixed Monthly Cost VS I'!Y8="","",'Machine Fixed Monthly Cost VS I'!Y8)</f>
        <v>65657.3</v>
      </c>
      <c r="D67" s="207">
        <f>IF('Machine Fixed Monthly Cost VS I'!Z8="","",'Machine Fixed Monthly Cost VS I'!Z8)</f>
        <v>-16391.300000000003</v>
      </c>
      <c r="E67" s="209">
        <f>IF('Monthly Running Cost'!L8="","",'Monthly Running Cost'!L8)</f>
        <v>248</v>
      </c>
    </row>
    <row r="68" spans="1:5" x14ac:dyDescent="0.3">
      <c r="A68" s="208" t="s">
        <v>207</v>
      </c>
      <c r="B68" s="207">
        <f>IF('Machine Fixed Monthly Cost VS I'!AB8="","",'Machine Fixed Monthly Cost VS I'!AB8)</f>
        <v>61663</v>
      </c>
      <c r="C68" s="207">
        <f>IF('Machine Fixed Monthly Cost VS I'!AC8="","",'Machine Fixed Monthly Cost VS I'!AC8)</f>
        <v>68162.69</v>
      </c>
      <c r="D68" s="207">
        <f>IF('Machine Fixed Monthly Cost VS I'!AD8="","",'Machine Fixed Monthly Cost VS I'!AD8)</f>
        <v>-6499.6900000000023</v>
      </c>
      <c r="E68" s="209">
        <f>IF('Monthly Running Cost'!N8="","",'Monthly Running Cost'!N8)</f>
        <v>1052.92</v>
      </c>
    </row>
    <row r="69" spans="1:5" x14ac:dyDescent="0.3">
      <c r="A69" s="208" t="s">
        <v>208</v>
      </c>
      <c r="B69" s="207">
        <f>IF('Machine Fixed Monthly Cost VS I'!AF8="","",'Machine Fixed Monthly Cost VS I'!AF8)</f>
        <v>68425</v>
      </c>
      <c r="C69" s="207">
        <f>IF('Machine Fixed Monthly Cost VS I'!AG8="","",'Machine Fixed Monthly Cost VS I'!AG8)</f>
        <v>64980.66</v>
      </c>
      <c r="D69" s="207">
        <f>IF('Machine Fixed Monthly Cost VS I'!AH8="","",'Machine Fixed Monthly Cost VS I'!AH8)</f>
        <v>3444.3399999999965</v>
      </c>
      <c r="E69" s="209">
        <f>IF('Monthly Running Cost'!P8="","",'Monthly Running Cost'!P8)</f>
        <v>5000.3500000000004</v>
      </c>
    </row>
    <row r="70" spans="1:5" x14ac:dyDescent="0.3">
      <c r="A70" s="208" t="s">
        <v>209</v>
      </c>
      <c r="B70" s="207">
        <f>IF('Machine Fixed Monthly Cost VS I'!AJ8="","",'Machine Fixed Monthly Cost VS I'!AJ8)</f>
        <v>53613</v>
      </c>
      <c r="C70" s="207">
        <f>IF('Machine Fixed Monthly Cost VS I'!AK8="","",'Machine Fixed Monthly Cost VS I'!AK8)</f>
        <v>66809.41</v>
      </c>
      <c r="D70" s="207">
        <f>IF('Machine Fixed Monthly Cost VS I'!AL8="","",'Machine Fixed Monthly Cost VS I'!AL8)</f>
        <v>-13196.410000000003</v>
      </c>
      <c r="E70" s="209" t="str">
        <f>IF('Monthly Running Cost'!R8="","",'Monthly Running Cost'!R8)</f>
        <v/>
      </c>
    </row>
    <row r="71" spans="1:5" x14ac:dyDescent="0.3">
      <c r="A71" s="208" t="s">
        <v>210</v>
      </c>
      <c r="B71" s="207" t="str">
        <f>IF('Machine Fixed Monthly Cost VS I'!AN8="","",'Machine Fixed Monthly Cost VS I'!AN8)</f>
        <v/>
      </c>
      <c r="C71" s="207">
        <f>IF('Machine Fixed Monthly Cost VS I'!AO8="","",'Machine Fixed Monthly Cost VS I'!AO8)</f>
        <v>51612.5</v>
      </c>
      <c r="D71" s="207" t="str">
        <f>IF('Machine Fixed Monthly Cost VS I'!AP8="","",'Machine Fixed Monthly Cost VS I'!AP8)</f>
        <v/>
      </c>
      <c r="E71" s="209" t="str">
        <f>IF('Monthly Running Cost'!T8="","",'Monthly Running Cost'!T8)</f>
        <v/>
      </c>
    </row>
    <row r="72" spans="1:5" x14ac:dyDescent="0.3">
      <c r="A72" s="208" t="s">
        <v>211</v>
      </c>
      <c r="B72" s="207" t="str">
        <f>IF('Machine Fixed Monthly Cost VS I'!AR8="","",'Machine Fixed Monthly Cost VS I'!AR8)</f>
        <v/>
      </c>
      <c r="C72" s="207">
        <f>IF('Machine Fixed Monthly Cost VS I'!AS8="","",'Machine Fixed Monthly Cost VS I'!AS8)</f>
        <v>51612.5</v>
      </c>
      <c r="D72" s="207" t="str">
        <f>IF('Machine Fixed Monthly Cost VS I'!AT8="","",'Machine Fixed Monthly Cost VS I'!AT8)</f>
        <v/>
      </c>
      <c r="E72" s="209" t="str">
        <f>IF('Monthly Running Cost'!V8="","",'Monthly Running Cost'!V8)</f>
        <v/>
      </c>
    </row>
    <row r="73" spans="1:5" x14ac:dyDescent="0.3">
      <c r="A73" s="208" t="s">
        <v>212</v>
      </c>
      <c r="B73" s="207" t="str">
        <f>IF('Machine Fixed Monthly Cost VS I'!AV8="","",'Machine Fixed Monthly Cost VS I'!AV8)</f>
        <v/>
      </c>
      <c r="C73" s="207">
        <f>IF('Machine Fixed Monthly Cost VS I'!AW8="","",'Machine Fixed Monthly Cost VS I'!AW8)</f>
        <v>51612.5</v>
      </c>
      <c r="D73" s="207" t="str">
        <f>IF('Machine Fixed Monthly Cost VS I'!AX8="","",'Machine Fixed Monthly Cost VS I'!AX8)</f>
        <v/>
      </c>
      <c r="E73" s="209" t="str">
        <f>IF('Monthly Running Cost'!X8="","",'Monthly Running Cost'!X8)</f>
        <v/>
      </c>
    </row>
    <row r="74" spans="1:5" x14ac:dyDescent="0.3">
      <c r="A74" s="208" t="s">
        <v>213</v>
      </c>
      <c r="B74" s="207" t="str">
        <f>IF('Machine Fixed Monthly Cost VS I'!AZ8="","",'Machine Fixed Monthly Cost VS I'!AZ8)</f>
        <v/>
      </c>
      <c r="C74" s="207">
        <f>IF('Machine Fixed Monthly Cost VS I'!BA8="","",'Machine Fixed Monthly Cost VS I'!BA8)</f>
        <v>51612.5</v>
      </c>
      <c r="D74" s="207" t="str">
        <f>IF('Machine Fixed Monthly Cost VS I'!BB8="","",'Machine Fixed Monthly Cost VS I'!BB8)</f>
        <v/>
      </c>
      <c r="E74" s="209" t="str">
        <f>IF('Monthly Running Cost'!Z8="","",'Monthly Running Cost'!Z8)</f>
        <v/>
      </c>
    </row>
    <row r="75" spans="1:5" x14ac:dyDescent="0.3">
      <c r="E75" s="209"/>
    </row>
    <row r="76" spans="1:5" x14ac:dyDescent="0.3">
      <c r="A76" s="246" t="s">
        <v>218</v>
      </c>
      <c r="B76" s="246"/>
      <c r="C76" s="246"/>
      <c r="D76" s="246"/>
      <c r="E76" s="209"/>
    </row>
    <row r="77" spans="1:5" x14ac:dyDescent="0.3">
      <c r="A77" s="204" t="s">
        <v>199</v>
      </c>
      <c r="B77" s="205" t="s">
        <v>200</v>
      </c>
      <c r="C77" s="205" t="s">
        <v>201</v>
      </c>
      <c r="D77" s="206" t="s">
        <v>129</v>
      </c>
      <c r="E77" s="210" t="s">
        <v>248</v>
      </c>
    </row>
    <row r="78" spans="1:5" x14ac:dyDescent="0.3">
      <c r="A78" s="208" t="s">
        <v>202</v>
      </c>
      <c r="B78" s="207">
        <f>IF('Machine Fixed Monthly Cost VS I'!H9="","",'Machine Fixed Monthly Cost VS I'!H9)</f>
        <v>33327</v>
      </c>
      <c r="C78" s="207">
        <f>IF('Machine Fixed Monthly Cost VS I'!I9="","",'Machine Fixed Monthly Cost VS I'!I9)</f>
        <v>37058.29</v>
      </c>
      <c r="D78" s="207">
        <f>IF('Machine Fixed Monthly Cost VS I'!J9="","",'Machine Fixed Monthly Cost VS I'!J9)</f>
        <v>-3731.2900000000009</v>
      </c>
      <c r="E78" s="209">
        <f>IF('Monthly Running Cost'!D9="","",'Monthly Running Cost'!D9)</f>
        <v>3315</v>
      </c>
    </row>
    <row r="79" spans="1:5" x14ac:dyDescent="0.3">
      <c r="A79" s="208" t="s">
        <v>203</v>
      </c>
      <c r="B79" s="207">
        <f>IF('Machine Fixed Monthly Cost VS I'!L9="","",'Machine Fixed Monthly Cost VS I'!L9)</f>
        <v>54772.2</v>
      </c>
      <c r="C79" s="207">
        <f>IF('Machine Fixed Monthly Cost VS I'!M9="","",'Machine Fixed Monthly Cost VS I'!M9)</f>
        <v>44099.69</v>
      </c>
      <c r="D79" s="207">
        <f>IF('Machine Fixed Monthly Cost VS I'!N9="","",'Machine Fixed Monthly Cost VS I'!N9)</f>
        <v>10672.509999999995</v>
      </c>
      <c r="E79" s="209">
        <f>IF('Monthly Running Cost'!F9="","",'Monthly Running Cost'!F9)</f>
        <v>7374.33</v>
      </c>
    </row>
    <row r="80" spans="1:5" x14ac:dyDescent="0.3">
      <c r="A80" s="208" t="s">
        <v>204</v>
      </c>
      <c r="B80" s="207">
        <f>IF('Machine Fixed Monthly Cost VS I'!P9="","",'Machine Fixed Monthly Cost VS I'!P9)</f>
        <v>63916.999999999993</v>
      </c>
      <c r="C80" s="207">
        <f>IF('Machine Fixed Monthly Cost VS I'!Q9="","",'Machine Fixed Monthly Cost VS I'!Q9)</f>
        <v>41321.89</v>
      </c>
      <c r="D80" s="207">
        <f>IF('Machine Fixed Monthly Cost VS I'!R9="","",'Machine Fixed Monthly Cost VS I'!R9)</f>
        <v>22595.109999999993</v>
      </c>
      <c r="E80" s="209" t="str">
        <f>IF('Monthly Running Cost'!H9="","",'Monthly Running Cost'!H9)</f>
        <v/>
      </c>
    </row>
    <row r="81" spans="1:5" x14ac:dyDescent="0.3">
      <c r="A81" s="208" t="s">
        <v>205</v>
      </c>
      <c r="B81" s="207">
        <f>IF('Machine Fixed Monthly Cost VS I'!T9="","",'Machine Fixed Monthly Cost VS I'!T9)</f>
        <v>47817</v>
      </c>
      <c r="C81" s="207">
        <f>IF('Machine Fixed Monthly Cost VS I'!U9="","",'Machine Fixed Monthly Cost VS I'!U9)</f>
        <v>42516.99</v>
      </c>
      <c r="D81" s="207">
        <f>IF('Machine Fixed Monthly Cost VS I'!V9="","",'Machine Fixed Monthly Cost VS I'!V9)</f>
        <v>5300.010000000002</v>
      </c>
      <c r="E81" s="209">
        <f>IF('Monthly Running Cost'!J9="","",'Monthly Running Cost'!J9)</f>
        <v>4875.93</v>
      </c>
    </row>
    <row r="82" spans="1:5" x14ac:dyDescent="0.3">
      <c r="A82" s="208" t="s">
        <v>206</v>
      </c>
      <c r="B82" s="207">
        <f>IF('Machine Fixed Monthly Cost VS I'!X9="","",'Machine Fixed Monthly Cost VS I'!X9)</f>
        <v>45724</v>
      </c>
      <c r="C82" s="207">
        <f>IF('Machine Fixed Monthly Cost VS I'!Y9="","",'Machine Fixed Monthly Cost VS I'!Y9)</f>
        <v>43001.49</v>
      </c>
      <c r="D82" s="207">
        <f>IF('Machine Fixed Monthly Cost VS I'!Z9="","",'Machine Fixed Monthly Cost VS I'!Z9)</f>
        <v>2722.510000000002</v>
      </c>
      <c r="E82" s="209">
        <f>IF('Monthly Running Cost'!L9="","",'Monthly Running Cost'!L9)</f>
        <v>7877.5</v>
      </c>
    </row>
    <row r="83" spans="1:5" x14ac:dyDescent="0.3">
      <c r="A83" s="208" t="s">
        <v>207</v>
      </c>
      <c r="B83" s="207">
        <f>IF('Machine Fixed Monthly Cost VS I'!AB9="","",'Machine Fixed Monthly Cost VS I'!AB9)</f>
        <v>49427</v>
      </c>
      <c r="C83" s="207">
        <f>IF('Machine Fixed Monthly Cost VS I'!AC9="","",'Machine Fixed Monthly Cost VS I'!AC9)</f>
        <v>43276.04</v>
      </c>
      <c r="D83" s="207">
        <f>IF('Machine Fixed Monthly Cost VS I'!AD9="","",'Machine Fixed Monthly Cost VS I'!AD9)</f>
        <v>6150.9599999999991</v>
      </c>
      <c r="E83" s="209" t="str">
        <f>IF('Monthly Running Cost'!N9="","",'Monthly Running Cost'!N9)</f>
        <v/>
      </c>
    </row>
    <row r="84" spans="1:5" x14ac:dyDescent="0.3">
      <c r="A84" s="208" t="s">
        <v>208</v>
      </c>
      <c r="B84" s="207">
        <f>IF('Machine Fixed Monthly Cost VS I'!AF9="","",'Machine Fixed Monthly Cost VS I'!AF9)</f>
        <v>68747</v>
      </c>
      <c r="C84" s="207">
        <f>IF('Machine Fixed Monthly Cost VS I'!AG9="","",'Machine Fixed Monthly Cost VS I'!AG9)</f>
        <v>43001.49</v>
      </c>
      <c r="D84" s="207">
        <f>IF('Machine Fixed Monthly Cost VS I'!AH9="","",'Machine Fixed Monthly Cost VS I'!AH9)</f>
        <v>25745.510000000002</v>
      </c>
      <c r="E84" s="209">
        <f>IF('Monthly Running Cost'!P9="","",'Monthly Running Cost'!P9)</f>
        <v>15522.85</v>
      </c>
    </row>
    <row r="85" spans="1:5" x14ac:dyDescent="0.3">
      <c r="A85" s="208" t="s">
        <v>209</v>
      </c>
      <c r="B85" s="207">
        <f>IF('Machine Fixed Monthly Cost VS I'!AJ9="","",'Machine Fixed Monthly Cost VS I'!AJ9)</f>
        <v>51037</v>
      </c>
      <c r="C85" s="207">
        <f>IF('Machine Fixed Monthly Cost VS I'!AK9="","",'Machine Fixed Monthly Cost VS I'!AK9)</f>
        <v>45310.94</v>
      </c>
      <c r="D85" s="207">
        <f>IF('Machine Fixed Monthly Cost VS I'!AL9="","",'Machine Fixed Monthly Cost VS I'!AL9)</f>
        <v>5726.0599999999977</v>
      </c>
      <c r="E85" s="209" t="str">
        <f>IF('Monthly Running Cost'!R9="","",'Monthly Running Cost'!R9)</f>
        <v/>
      </c>
    </row>
    <row r="86" spans="1:5" x14ac:dyDescent="0.3">
      <c r="A86" s="208" t="s">
        <v>210</v>
      </c>
      <c r="B86" s="207" t="str">
        <f>IF('Machine Fixed Monthly Cost VS I'!AN9="","",'Machine Fixed Monthly Cost VS I'!AN9)</f>
        <v/>
      </c>
      <c r="C86" s="207">
        <f>IF('Machine Fixed Monthly Cost VS I'!AO9="","",'Machine Fixed Monthly Cost VS I'!AO9)</f>
        <v>31438.09</v>
      </c>
      <c r="D86" s="207" t="str">
        <f>IF('Machine Fixed Monthly Cost VS I'!AP9="","",'Machine Fixed Monthly Cost VS I'!AP9)</f>
        <v/>
      </c>
      <c r="E86" s="209" t="str">
        <f>IF('Monthly Running Cost'!T9="","",'Monthly Running Cost'!T9)</f>
        <v/>
      </c>
    </row>
    <row r="87" spans="1:5" x14ac:dyDescent="0.3">
      <c r="A87" s="208" t="s">
        <v>211</v>
      </c>
      <c r="B87" s="207" t="str">
        <f>IF('Machine Fixed Monthly Cost VS I'!AR9="","",'Machine Fixed Monthly Cost VS I'!AR9)</f>
        <v/>
      </c>
      <c r="C87" s="207">
        <f>IF('Machine Fixed Monthly Cost VS I'!AS9="","",'Machine Fixed Monthly Cost VS I'!AS9)</f>
        <v>31438.09</v>
      </c>
      <c r="D87" s="207" t="str">
        <f>IF('Machine Fixed Monthly Cost VS I'!AT9="","",'Machine Fixed Monthly Cost VS I'!AT9)</f>
        <v/>
      </c>
      <c r="E87" s="209" t="str">
        <f>IF('Monthly Running Cost'!V9="","",'Monthly Running Cost'!V9)</f>
        <v/>
      </c>
    </row>
    <row r="88" spans="1:5" x14ac:dyDescent="0.3">
      <c r="A88" s="208" t="s">
        <v>212</v>
      </c>
      <c r="B88" s="207" t="str">
        <f>IF('Machine Fixed Monthly Cost VS I'!AV9="","",'Machine Fixed Monthly Cost VS I'!AV9)</f>
        <v/>
      </c>
      <c r="C88" s="207">
        <f>IF('Machine Fixed Monthly Cost VS I'!AW9="","",'Machine Fixed Monthly Cost VS I'!AW9)</f>
        <v>31438.09</v>
      </c>
      <c r="D88" s="207" t="str">
        <f>IF('Machine Fixed Monthly Cost VS I'!AX9="","",'Machine Fixed Monthly Cost VS I'!AX9)</f>
        <v/>
      </c>
      <c r="E88" s="209" t="str">
        <f>IF('Monthly Running Cost'!X9="","",'Monthly Running Cost'!X9)</f>
        <v/>
      </c>
    </row>
    <row r="89" spans="1:5" x14ac:dyDescent="0.3">
      <c r="A89" s="208" t="s">
        <v>213</v>
      </c>
      <c r="B89" s="207" t="str">
        <f>IF('Machine Fixed Monthly Cost VS I'!AZ9="","",'Machine Fixed Monthly Cost VS I'!AZ9)</f>
        <v/>
      </c>
      <c r="C89" s="207">
        <f>IF('Machine Fixed Monthly Cost VS I'!BA9="","",'Machine Fixed Monthly Cost VS I'!BA9)</f>
        <v>31438.09</v>
      </c>
      <c r="D89" s="207" t="str">
        <f>IF('Machine Fixed Monthly Cost VS I'!BB9="","",'Machine Fixed Monthly Cost VS I'!BB9)</f>
        <v/>
      </c>
      <c r="E89" s="209" t="str">
        <f>IF('Monthly Running Cost'!Z9="","",'Monthly Running Cost'!Z9)</f>
        <v/>
      </c>
    </row>
    <row r="90" spans="1:5" x14ac:dyDescent="0.3">
      <c r="E90" s="209"/>
    </row>
    <row r="91" spans="1:5" x14ac:dyDescent="0.3">
      <c r="A91" s="246" t="s">
        <v>219</v>
      </c>
      <c r="B91" s="246"/>
      <c r="C91" s="246"/>
      <c r="D91" s="246"/>
      <c r="E91" s="209"/>
    </row>
    <row r="92" spans="1:5" x14ac:dyDescent="0.3">
      <c r="A92" s="204" t="s">
        <v>199</v>
      </c>
      <c r="B92" s="205" t="s">
        <v>200</v>
      </c>
      <c r="C92" s="205" t="s">
        <v>201</v>
      </c>
      <c r="D92" s="206" t="s">
        <v>129</v>
      </c>
      <c r="E92" s="210" t="s">
        <v>248</v>
      </c>
    </row>
    <row r="93" spans="1:5" x14ac:dyDescent="0.3">
      <c r="A93" s="208" t="s">
        <v>202</v>
      </c>
      <c r="B93" s="207">
        <f>IF('Machine Fixed Monthly Cost VS I'!H10="","",'Machine Fixed Monthly Cost VS I'!H10)</f>
        <v>33327</v>
      </c>
      <c r="C93" s="207">
        <f>IF('Machine Fixed Monthly Cost VS I'!I10="","",'Machine Fixed Monthly Cost VS I'!I10)</f>
        <v>38236.83</v>
      </c>
      <c r="D93" s="207">
        <f>IF('Machine Fixed Monthly Cost VS I'!J10="","",'Machine Fixed Monthly Cost VS I'!J10)</f>
        <v>-4909.8300000000017</v>
      </c>
      <c r="E93" s="209">
        <f>IF('Monthly Running Cost'!D10="","",'Monthly Running Cost'!D10)</f>
        <v>6078.4400000000005</v>
      </c>
    </row>
    <row r="94" spans="1:5" x14ac:dyDescent="0.3">
      <c r="A94" s="208" t="s">
        <v>203</v>
      </c>
      <c r="B94" s="207">
        <f>IF('Machine Fixed Monthly Cost VS I'!L10="","",'Machine Fixed Monthly Cost VS I'!L10)</f>
        <v>54578.999999999993</v>
      </c>
      <c r="C94" s="207">
        <f>IF('Machine Fixed Monthly Cost VS I'!M10="","",'Machine Fixed Monthly Cost VS I'!M10)</f>
        <v>45342.83</v>
      </c>
      <c r="D94" s="207">
        <f>IF('Machine Fixed Monthly Cost VS I'!N10="","",'Machine Fixed Monthly Cost VS I'!N10)</f>
        <v>9236.169999999991</v>
      </c>
      <c r="E94" s="209">
        <f>IF('Monthly Running Cost'!F10="","",'Monthly Running Cost'!F10)</f>
        <v>25788.62</v>
      </c>
    </row>
    <row r="95" spans="1:5" x14ac:dyDescent="0.3">
      <c r="A95" s="208" t="s">
        <v>204</v>
      </c>
      <c r="B95" s="207">
        <f>IF('Machine Fixed Monthly Cost VS I'!P10="","",'Machine Fixed Monthly Cost VS I'!P10)</f>
        <v>60696.999999999993</v>
      </c>
      <c r="C95" s="207">
        <f>IF('Machine Fixed Monthly Cost VS I'!Q10="","",'Machine Fixed Monthly Cost VS I'!Q10)</f>
        <v>43695.53</v>
      </c>
      <c r="D95" s="207">
        <f>IF('Machine Fixed Monthly Cost VS I'!R10="","",'Machine Fixed Monthly Cost VS I'!R10)</f>
        <v>17001.469999999994</v>
      </c>
      <c r="E95" s="209">
        <f>IF('Monthly Running Cost'!H10="","",'Monthly Running Cost'!H10)</f>
        <v>2580.19</v>
      </c>
    </row>
    <row r="96" spans="1:5" x14ac:dyDescent="0.3">
      <c r="A96" s="208" t="s">
        <v>205</v>
      </c>
      <c r="B96" s="207">
        <f>IF('Machine Fixed Monthly Cost VS I'!T10="","",'Machine Fixed Monthly Cost VS I'!T10)</f>
        <v>43631</v>
      </c>
      <c r="C96" s="207">
        <f>IF('Machine Fixed Monthly Cost VS I'!U10="","",'Machine Fixed Monthly Cost VS I'!U10)</f>
        <v>41951.33</v>
      </c>
      <c r="D96" s="207">
        <f>IF('Machine Fixed Monthly Cost VS I'!V10="","",'Machine Fixed Monthly Cost VS I'!V10)</f>
        <v>1679.6699999999983</v>
      </c>
      <c r="E96" s="209">
        <f>IF('Monthly Running Cost'!J10="","",'Monthly Running Cost'!J10)</f>
        <v>346</v>
      </c>
    </row>
    <row r="97" spans="1:5" x14ac:dyDescent="0.3">
      <c r="A97" s="208" t="s">
        <v>206</v>
      </c>
      <c r="B97" s="207">
        <f>IF('Machine Fixed Monthly Cost VS I'!X10="","",'Machine Fixed Monthly Cost VS I'!X10)</f>
        <v>53452</v>
      </c>
      <c r="C97" s="207">
        <f>IF('Machine Fixed Monthly Cost VS I'!Y10="","",'Machine Fixed Monthly Cost VS I'!Y10)</f>
        <v>38435.630000000005</v>
      </c>
      <c r="D97" s="207">
        <f>IF('Machine Fixed Monthly Cost VS I'!Z10="","",'Machine Fixed Monthly Cost VS I'!Z10)</f>
        <v>15016.369999999995</v>
      </c>
      <c r="E97" s="209">
        <f>IF('Monthly Running Cost'!L10="","",'Monthly Running Cost'!L10)</f>
        <v>2383.56</v>
      </c>
    </row>
    <row r="98" spans="1:5" x14ac:dyDescent="0.3">
      <c r="A98" s="208" t="s">
        <v>207</v>
      </c>
      <c r="B98" s="207">
        <f>IF('Machine Fixed Monthly Cost VS I'!AB10="","",'Machine Fixed Monthly Cost VS I'!AB10)</f>
        <v>55062</v>
      </c>
      <c r="C98" s="207">
        <f>IF('Machine Fixed Monthly Cost VS I'!AC10="","",'Machine Fixed Monthly Cost VS I'!AC10)</f>
        <v>44346.630000000005</v>
      </c>
      <c r="D98" s="207">
        <f>IF('Machine Fixed Monthly Cost VS I'!AD10="","",'Machine Fixed Monthly Cost VS I'!AD10)</f>
        <v>10715.369999999995</v>
      </c>
      <c r="E98" s="209" t="str">
        <f>IF('Monthly Running Cost'!N10="","",'Monthly Running Cost'!N10)</f>
        <v/>
      </c>
    </row>
    <row r="99" spans="1:5" x14ac:dyDescent="0.3">
      <c r="A99" s="208" t="s">
        <v>208</v>
      </c>
      <c r="B99" s="207">
        <f>IF('Machine Fixed Monthly Cost VS I'!AF10="","",'Machine Fixed Monthly Cost VS I'!AF10)</f>
        <v>73577</v>
      </c>
      <c r="C99" s="207">
        <f>IF('Machine Fixed Monthly Cost VS I'!AG10="","",'Machine Fixed Monthly Cost VS I'!AG10)</f>
        <v>44841.630000000005</v>
      </c>
      <c r="D99" s="207">
        <f>IF('Machine Fixed Monthly Cost VS I'!AH10="","",'Machine Fixed Monthly Cost VS I'!AH10)</f>
        <v>28735.369999999995</v>
      </c>
      <c r="E99" s="209">
        <f>IF('Monthly Running Cost'!P10="","",'Monthly Running Cost'!P10)</f>
        <v>5000.3500000000004</v>
      </c>
    </row>
    <row r="100" spans="1:5" x14ac:dyDescent="0.3">
      <c r="A100" s="208" t="s">
        <v>209</v>
      </c>
      <c r="B100" s="207">
        <f>IF('Machine Fixed Monthly Cost VS I'!AJ10="","",'Machine Fixed Monthly Cost VS I'!AJ10)</f>
        <v>51520</v>
      </c>
      <c r="C100" s="207">
        <f>IF('Machine Fixed Monthly Cost VS I'!AK10="","",'Machine Fixed Monthly Cost VS I'!AK10)</f>
        <v>44661.630000000005</v>
      </c>
      <c r="D100" s="207">
        <f>IF('Machine Fixed Monthly Cost VS I'!AL10="","",'Machine Fixed Monthly Cost VS I'!AL10)</f>
        <v>6858.3699999999953</v>
      </c>
      <c r="E100" s="209">
        <f>IF('Monthly Running Cost'!R10="","",'Monthly Running Cost'!R10)</f>
        <v>1644.5</v>
      </c>
    </row>
    <row r="101" spans="1:5" x14ac:dyDescent="0.3">
      <c r="A101" s="208" t="s">
        <v>210</v>
      </c>
      <c r="B101" s="207" t="str">
        <f>IF('Machine Fixed Monthly Cost VS I'!AN10="","",'Machine Fixed Monthly Cost VS I'!AN10)</f>
        <v/>
      </c>
      <c r="C101" s="207">
        <f>IF('Machine Fixed Monthly Cost VS I'!AO10="","",'Machine Fixed Monthly Cost VS I'!AO10)</f>
        <v>32616.63</v>
      </c>
      <c r="D101" s="207" t="str">
        <f>IF('Machine Fixed Monthly Cost VS I'!AP10="","",'Machine Fixed Monthly Cost VS I'!AP10)</f>
        <v/>
      </c>
      <c r="E101" s="209" t="str">
        <f>IF('Monthly Running Cost'!T10="","",'Monthly Running Cost'!T10)</f>
        <v/>
      </c>
    </row>
    <row r="102" spans="1:5" x14ac:dyDescent="0.3">
      <c r="A102" s="208" t="s">
        <v>211</v>
      </c>
      <c r="B102" s="207" t="str">
        <f>IF('Machine Fixed Monthly Cost VS I'!AR10="","",'Machine Fixed Monthly Cost VS I'!AR10)</f>
        <v/>
      </c>
      <c r="C102" s="207">
        <f>IF('Machine Fixed Monthly Cost VS I'!AS10="","",'Machine Fixed Monthly Cost VS I'!AS10)</f>
        <v>32616.63</v>
      </c>
      <c r="D102" s="207" t="str">
        <f>IF('Machine Fixed Monthly Cost VS I'!AT10="","",'Machine Fixed Monthly Cost VS I'!AT10)</f>
        <v/>
      </c>
      <c r="E102" s="209" t="str">
        <f>IF('Monthly Running Cost'!V10="","",'Monthly Running Cost'!V10)</f>
        <v/>
      </c>
    </row>
    <row r="103" spans="1:5" x14ac:dyDescent="0.3">
      <c r="A103" s="208" t="s">
        <v>212</v>
      </c>
      <c r="B103" s="207" t="str">
        <f>IF('Machine Fixed Monthly Cost VS I'!AV10="","",'Machine Fixed Monthly Cost VS I'!AV10)</f>
        <v/>
      </c>
      <c r="C103" s="207">
        <f>IF('Machine Fixed Monthly Cost VS I'!AW10="","",'Machine Fixed Monthly Cost VS I'!AW10)</f>
        <v>32616.63</v>
      </c>
      <c r="D103" s="207" t="str">
        <f>IF('Machine Fixed Monthly Cost VS I'!AX10="","",'Machine Fixed Monthly Cost VS I'!AX10)</f>
        <v/>
      </c>
      <c r="E103" s="209" t="str">
        <f>IF('Monthly Running Cost'!X10="","",'Monthly Running Cost'!X10)</f>
        <v/>
      </c>
    </row>
    <row r="104" spans="1:5" x14ac:dyDescent="0.3">
      <c r="A104" s="208" t="s">
        <v>213</v>
      </c>
      <c r="B104" s="207" t="str">
        <f>IF('Machine Fixed Monthly Cost VS I'!AZ10="","",'Machine Fixed Monthly Cost VS I'!AZ10)</f>
        <v/>
      </c>
      <c r="C104" s="207">
        <f>IF('Machine Fixed Monthly Cost VS I'!BA10="","",'Machine Fixed Monthly Cost VS I'!BA10)</f>
        <v>32616.63</v>
      </c>
      <c r="D104" s="207" t="str">
        <f>IF('Machine Fixed Monthly Cost VS I'!BB10="","",'Machine Fixed Monthly Cost VS I'!BB10)</f>
        <v/>
      </c>
      <c r="E104" s="209" t="str">
        <f>IF('Monthly Running Cost'!Z10="","",'Monthly Running Cost'!Z10)</f>
        <v/>
      </c>
    </row>
    <row r="105" spans="1:5" x14ac:dyDescent="0.3">
      <c r="E105" s="209"/>
    </row>
    <row r="106" spans="1:5" x14ac:dyDescent="0.3">
      <c r="A106" s="246" t="s">
        <v>220</v>
      </c>
      <c r="B106" s="246"/>
      <c r="C106" s="246"/>
      <c r="D106" s="246"/>
      <c r="E106" s="209"/>
    </row>
    <row r="107" spans="1:5" x14ac:dyDescent="0.3">
      <c r="A107" s="204" t="s">
        <v>199</v>
      </c>
      <c r="B107" s="205" t="s">
        <v>200</v>
      </c>
      <c r="C107" s="205" t="s">
        <v>201</v>
      </c>
      <c r="D107" s="206" t="s">
        <v>129</v>
      </c>
      <c r="E107" s="210" t="s">
        <v>248</v>
      </c>
    </row>
    <row r="108" spans="1:5" x14ac:dyDescent="0.3">
      <c r="A108" s="208" t="s">
        <v>202</v>
      </c>
      <c r="B108" s="207">
        <f>IF('Machine Fixed Monthly Cost VS I'!H11="","",'Machine Fixed Monthly Cost VS I'!H11)</f>
        <v>25874.999999999996</v>
      </c>
      <c r="C108" s="207">
        <f>IF('Machine Fixed Monthly Cost VS I'!I11="","",'Machine Fixed Monthly Cost VS I'!I11)</f>
        <v>18678.45</v>
      </c>
      <c r="D108" s="207">
        <f>IF('Machine Fixed Monthly Cost VS I'!J11="","",'Machine Fixed Monthly Cost VS I'!J11)</f>
        <v>7196.5499999999956</v>
      </c>
      <c r="E108" s="209">
        <f>IF('Monthly Running Cost'!D11="","",'Monthly Running Cost'!D11)</f>
        <v>1378.8150000000001</v>
      </c>
    </row>
    <row r="109" spans="1:5" x14ac:dyDescent="0.3">
      <c r="A109" s="208" t="s">
        <v>203</v>
      </c>
      <c r="B109" s="207">
        <f>IF('Machine Fixed Monthly Cost VS I'!L11="","",'Machine Fixed Monthly Cost VS I'!L11)</f>
        <v>29784.999999999996</v>
      </c>
      <c r="C109" s="207">
        <f>IF('Machine Fixed Monthly Cost VS I'!M11="","",'Machine Fixed Monthly Cost VS I'!M11)</f>
        <v>23507.3</v>
      </c>
      <c r="D109" s="207">
        <f>IF('Machine Fixed Monthly Cost VS I'!N11="","",'Machine Fixed Monthly Cost VS I'!N11)</f>
        <v>6277.6999999999971</v>
      </c>
      <c r="E109" s="209">
        <f>IF('Monthly Running Cost'!F11="","",'Monthly Running Cost'!F11)</f>
        <v>2794.5</v>
      </c>
    </row>
    <row r="110" spans="1:5" x14ac:dyDescent="0.3">
      <c r="A110" s="208" t="s">
        <v>204</v>
      </c>
      <c r="B110" s="207">
        <f>IF('Machine Fixed Monthly Cost VS I'!P11="","",'Machine Fixed Monthly Cost VS I'!P11)</f>
        <v>40825</v>
      </c>
      <c r="C110" s="207">
        <f>IF('Machine Fixed Monthly Cost VS I'!Q11="","",'Machine Fixed Monthly Cost VS I'!Q11)</f>
        <v>22441.4</v>
      </c>
      <c r="D110" s="207">
        <f>IF('Machine Fixed Monthly Cost VS I'!R11="","",'Machine Fixed Monthly Cost VS I'!R11)</f>
        <v>18383.599999999999</v>
      </c>
      <c r="E110" s="209">
        <f>IF('Monthly Running Cost'!H11="","",'Monthly Running Cost'!H11)</f>
        <v>3226.15</v>
      </c>
    </row>
    <row r="111" spans="1:5" x14ac:dyDescent="0.3">
      <c r="A111" s="208" t="s">
        <v>205</v>
      </c>
      <c r="B111" s="207">
        <f>IF('Machine Fixed Monthly Cost VS I'!T11="","",'Machine Fixed Monthly Cost VS I'!T11)</f>
        <v>34500</v>
      </c>
      <c r="C111" s="207">
        <f>IF('Machine Fixed Monthly Cost VS I'!U11="","",'Machine Fixed Monthly Cost VS I'!U11)</f>
        <v>22441.4</v>
      </c>
      <c r="D111" s="207">
        <f>IF('Machine Fixed Monthly Cost VS I'!V11="","",'Machine Fixed Monthly Cost VS I'!V11)</f>
        <v>12058.599999999999</v>
      </c>
      <c r="E111" s="209" t="str">
        <f>IF('Monthly Running Cost'!J11="","",'Monthly Running Cost'!J11)</f>
        <v/>
      </c>
    </row>
    <row r="112" spans="1:5" x14ac:dyDescent="0.3">
      <c r="A112" s="208" t="s">
        <v>206</v>
      </c>
      <c r="B112" s="207">
        <f>IF('Machine Fixed Monthly Cost VS I'!X11="","",'Machine Fixed Monthly Cost VS I'!X11)</f>
        <v>32775</v>
      </c>
      <c r="C112" s="207">
        <f>IF('Machine Fixed Monthly Cost VS I'!Y11="","",'Machine Fixed Monthly Cost VS I'!Y11)</f>
        <v>22925.9</v>
      </c>
      <c r="D112" s="207">
        <f>IF('Machine Fixed Monthly Cost VS I'!Z11="","",'Machine Fixed Monthly Cost VS I'!Z11)</f>
        <v>9849.0999999999985</v>
      </c>
      <c r="E112" s="209">
        <f>IF('Monthly Running Cost'!L11="","",'Monthly Running Cost'!L11)</f>
        <v>1417.57</v>
      </c>
    </row>
    <row r="113" spans="1:5" x14ac:dyDescent="0.3">
      <c r="A113" s="208" t="s">
        <v>207</v>
      </c>
      <c r="B113" s="207">
        <f>IF('Machine Fixed Monthly Cost VS I'!AB11="","",'Machine Fixed Monthly Cost VS I'!AB11)</f>
        <v>38065</v>
      </c>
      <c r="C113" s="207">
        <f>IF('Machine Fixed Monthly Cost VS I'!AC11="","",'Machine Fixed Monthly Cost VS I'!AC11)</f>
        <v>24750.85</v>
      </c>
      <c r="D113" s="207">
        <f>IF('Machine Fixed Monthly Cost VS I'!AD11="","",'Machine Fixed Monthly Cost VS I'!AD11)</f>
        <v>13314.150000000001</v>
      </c>
      <c r="E113" s="209" t="str">
        <f>IF('Monthly Running Cost'!N11="","",'Monthly Running Cost'!N11)</f>
        <v/>
      </c>
    </row>
    <row r="114" spans="1:5" x14ac:dyDescent="0.3">
      <c r="A114" s="208" t="s">
        <v>208</v>
      </c>
      <c r="B114" s="207">
        <f>IF('Machine Fixed Monthly Cost VS I'!AF11="","",'Machine Fixed Monthly Cost VS I'!AF11)</f>
        <v>47840</v>
      </c>
      <c r="C114" s="207">
        <f>IF('Machine Fixed Monthly Cost VS I'!AG11="","",'Machine Fixed Monthly Cost VS I'!AG11)</f>
        <v>21407.8</v>
      </c>
      <c r="D114" s="207">
        <f>IF('Machine Fixed Monthly Cost VS I'!AH11="","",'Machine Fixed Monthly Cost VS I'!AH11)</f>
        <v>26432.2</v>
      </c>
      <c r="E114" s="209" t="str">
        <f>IF('Monthly Running Cost'!P11="","",'Monthly Running Cost'!P11)</f>
        <v/>
      </c>
    </row>
    <row r="115" spans="1:5" x14ac:dyDescent="0.3">
      <c r="A115" s="208" t="s">
        <v>209</v>
      </c>
      <c r="B115" s="207">
        <f>IF('Machine Fixed Monthly Cost VS I'!AJ11="","",'Machine Fixed Monthly Cost VS I'!AJ11)</f>
        <v>35880</v>
      </c>
      <c r="C115" s="207">
        <f>IF('Machine Fixed Monthly Cost VS I'!AK11="","",'Machine Fixed Monthly Cost VS I'!AK11)</f>
        <v>25057.7</v>
      </c>
      <c r="D115" s="207">
        <f>IF('Machine Fixed Monthly Cost VS I'!AL11="","",'Machine Fixed Monthly Cost VS I'!AL11)</f>
        <v>10822.3</v>
      </c>
      <c r="E115" s="209">
        <f>IF('Monthly Running Cost'!R11="","",'Monthly Running Cost'!R11)</f>
        <v>1482.35</v>
      </c>
    </row>
    <row r="116" spans="1:5" x14ac:dyDescent="0.3">
      <c r="A116" s="208" t="s">
        <v>210</v>
      </c>
      <c r="B116" s="207" t="str">
        <f>IF('Machine Fixed Monthly Cost VS I'!AN11="","",'Machine Fixed Monthly Cost VS I'!AN11)</f>
        <v/>
      </c>
      <c r="C116" s="207">
        <f>IF('Machine Fixed Monthly Cost VS I'!AO11="","",'Machine Fixed Monthly Cost VS I'!AO11)</f>
        <v>11362.5</v>
      </c>
      <c r="D116" s="207" t="str">
        <f>IF('Machine Fixed Monthly Cost VS I'!AP11="","",'Machine Fixed Monthly Cost VS I'!AP11)</f>
        <v/>
      </c>
      <c r="E116" s="209" t="str">
        <f>IF('Monthly Running Cost'!T11="","",'Monthly Running Cost'!T11)</f>
        <v/>
      </c>
    </row>
    <row r="117" spans="1:5" x14ac:dyDescent="0.3">
      <c r="A117" s="208" t="s">
        <v>211</v>
      </c>
      <c r="B117" s="207" t="str">
        <f>IF('Machine Fixed Monthly Cost VS I'!AR11="","",'Machine Fixed Monthly Cost VS I'!AR11)</f>
        <v/>
      </c>
      <c r="C117" s="207">
        <f>IF('Machine Fixed Monthly Cost VS I'!AS11="","",'Machine Fixed Monthly Cost VS I'!AS11)</f>
        <v>11362.5</v>
      </c>
      <c r="D117" s="207" t="str">
        <f>IF('Machine Fixed Monthly Cost VS I'!AT11="","",'Machine Fixed Monthly Cost VS I'!AT11)</f>
        <v/>
      </c>
      <c r="E117" s="209" t="str">
        <f>IF('Monthly Running Cost'!V11="","",'Monthly Running Cost'!V11)</f>
        <v/>
      </c>
    </row>
    <row r="118" spans="1:5" x14ac:dyDescent="0.3">
      <c r="A118" s="208" t="s">
        <v>212</v>
      </c>
      <c r="B118" s="207" t="str">
        <f>IF('Machine Fixed Monthly Cost VS I'!AV11="","",'Machine Fixed Monthly Cost VS I'!AV11)</f>
        <v/>
      </c>
      <c r="C118" s="207">
        <f>IF('Machine Fixed Monthly Cost VS I'!AW11="","",'Machine Fixed Monthly Cost VS I'!AW11)</f>
        <v>11362.5</v>
      </c>
      <c r="D118" s="207" t="str">
        <f>IF('Machine Fixed Monthly Cost VS I'!AX11="","",'Machine Fixed Monthly Cost VS I'!AX11)</f>
        <v/>
      </c>
      <c r="E118" s="209" t="str">
        <f>IF('Monthly Running Cost'!X11="","",'Monthly Running Cost'!X11)</f>
        <v/>
      </c>
    </row>
    <row r="119" spans="1:5" x14ac:dyDescent="0.3">
      <c r="A119" s="208" t="s">
        <v>213</v>
      </c>
      <c r="B119" s="207" t="str">
        <f>IF('Machine Fixed Monthly Cost VS I'!AZ11="","",'Machine Fixed Monthly Cost VS I'!AZ11)</f>
        <v/>
      </c>
      <c r="C119" s="207">
        <f>IF('Machine Fixed Monthly Cost VS I'!BA11="","",'Machine Fixed Monthly Cost VS I'!BA11)</f>
        <v>11362.5</v>
      </c>
      <c r="D119" s="207" t="str">
        <f>IF('Machine Fixed Monthly Cost VS I'!BB11="","",'Machine Fixed Monthly Cost VS I'!BB11)</f>
        <v/>
      </c>
      <c r="E119" s="209" t="str">
        <f>IF('Monthly Running Cost'!Z11="","",'Monthly Running Cost'!Z11)</f>
        <v/>
      </c>
    </row>
    <row r="120" spans="1:5" x14ac:dyDescent="0.3">
      <c r="E120" s="209"/>
    </row>
    <row r="121" spans="1:5" x14ac:dyDescent="0.3">
      <c r="A121" s="246" t="s">
        <v>221</v>
      </c>
      <c r="B121" s="246"/>
      <c r="C121" s="246"/>
      <c r="D121" s="246"/>
      <c r="E121" s="209"/>
    </row>
    <row r="122" spans="1:5" x14ac:dyDescent="0.3">
      <c r="A122" s="204" t="s">
        <v>199</v>
      </c>
      <c r="B122" s="205" t="s">
        <v>200</v>
      </c>
      <c r="C122" s="205" t="s">
        <v>201</v>
      </c>
      <c r="D122" s="206" t="s">
        <v>129</v>
      </c>
      <c r="E122" s="210" t="s">
        <v>248</v>
      </c>
    </row>
    <row r="123" spans="1:5" x14ac:dyDescent="0.3">
      <c r="A123" s="208" t="s">
        <v>202</v>
      </c>
      <c r="B123" s="207" t="str">
        <f>IF('Machine Fixed Monthly Cost VS I'!H12="","",'Machine Fixed Monthly Cost VS I'!H12)</f>
        <v/>
      </c>
      <c r="C123" s="207">
        <f>IF('Machine Fixed Monthly Cost VS I'!I12="","",'Machine Fixed Monthly Cost VS I'!I12)</f>
        <v>17854.8</v>
      </c>
      <c r="D123" s="207">
        <f>IF('Machine Fixed Monthly Cost VS I'!J12="","",'Machine Fixed Monthly Cost VS I'!J12)</f>
        <v>-17854.8</v>
      </c>
      <c r="E123" s="209">
        <f>IF('Monthly Running Cost'!D12="","",'Monthly Running Cost'!D12)</f>
        <v>9332.2150000000001</v>
      </c>
    </row>
    <row r="124" spans="1:5" x14ac:dyDescent="0.3">
      <c r="A124" s="208" t="s">
        <v>203</v>
      </c>
      <c r="B124" s="207">
        <f>IF('Machine Fixed Monthly Cost VS I'!L12="","",'Machine Fixed Monthly Cost VS I'!L12)</f>
        <v>36800</v>
      </c>
      <c r="C124" s="207">
        <f>IF('Machine Fixed Monthly Cost VS I'!M12="","",'Machine Fixed Monthly Cost VS I'!M12)</f>
        <v>24088.7</v>
      </c>
      <c r="D124" s="207">
        <f>IF('Machine Fixed Monthly Cost VS I'!N12="","",'Machine Fixed Monthly Cost VS I'!N12)</f>
        <v>12711.3</v>
      </c>
      <c r="E124" s="209">
        <f>IF('Monthly Running Cost'!F12="","",'Monthly Running Cost'!F12)</f>
        <v>2794.5</v>
      </c>
    </row>
    <row r="125" spans="1:5" x14ac:dyDescent="0.3">
      <c r="A125" s="208" t="s">
        <v>204</v>
      </c>
      <c r="B125" s="207">
        <f>IF('Machine Fixed Monthly Cost VS I'!P12="","",'Machine Fixed Monthly Cost VS I'!P12)</f>
        <v>41515</v>
      </c>
      <c r="C125" s="207">
        <f>IF('Machine Fixed Monthly Cost VS I'!Q12="","",'Machine Fixed Monthly Cost VS I'!Q12)</f>
        <v>22441.4</v>
      </c>
      <c r="D125" s="207">
        <f>IF('Machine Fixed Monthly Cost VS I'!R12="","",'Machine Fixed Monthly Cost VS I'!R12)</f>
        <v>19073.599999999999</v>
      </c>
      <c r="E125" s="209" t="str">
        <f>IF('Monthly Running Cost'!H12="","",'Monthly Running Cost'!H12)</f>
        <v/>
      </c>
    </row>
    <row r="126" spans="1:5" x14ac:dyDescent="0.3">
      <c r="A126" s="208" t="s">
        <v>205</v>
      </c>
      <c r="B126" s="207">
        <f>IF('Machine Fixed Monthly Cost VS I'!T12="","",'Machine Fixed Monthly Cost VS I'!T12)</f>
        <v>34385</v>
      </c>
      <c r="C126" s="207">
        <f>IF('Machine Fixed Monthly Cost VS I'!U12="","",'Machine Fixed Monthly Cost VS I'!U12)</f>
        <v>22441.4</v>
      </c>
      <c r="D126" s="207">
        <f>IF('Machine Fixed Monthly Cost VS I'!V12="","",'Machine Fixed Monthly Cost VS I'!V12)</f>
        <v>11943.599999999999</v>
      </c>
      <c r="E126" s="209" t="str">
        <f>IF('Monthly Running Cost'!J12="","",'Monthly Running Cost'!J12)</f>
        <v/>
      </c>
    </row>
    <row r="127" spans="1:5" x14ac:dyDescent="0.3">
      <c r="A127" s="208" t="s">
        <v>206</v>
      </c>
      <c r="B127" s="207">
        <f>IF('Machine Fixed Monthly Cost VS I'!X12="","",'Machine Fixed Monthly Cost VS I'!X12)</f>
        <v>33350</v>
      </c>
      <c r="C127" s="207">
        <f>IF('Machine Fixed Monthly Cost VS I'!Y12="","",'Machine Fixed Monthly Cost VS I'!Y12)</f>
        <v>23507.3</v>
      </c>
      <c r="D127" s="207">
        <f>IF('Machine Fixed Monthly Cost VS I'!Z12="","",'Machine Fixed Monthly Cost VS I'!Z12)</f>
        <v>9842.7000000000007</v>
      </c>
      <c r="E127" s="209">
        <f>IF('Monthly Running Cost'!L12="","",'Monthly Running Cost'!L12)</f>
        <v>1417.57</v>
      </c>
    </row>
    <row r="128" spans="1:5" x14ac:dyDescent="0.3">
      <c r="A128" s="208" t="s">
        <v>207</v>
      </c>
      <c r="B128" s="207">
        <f>IF('Machine Fixed Monthly Cost VS I'!AB12="","",'Machine Fixed Monthly Cost VS I'!AB12)</f>
        <v>35190</v>
      </c>
      <c r="C128" s="207">
        <f>IF('Machine Fixed Monthly Cost VS I'!AC12="","",'Machine Fixed Monthly Cost VS I'!AC12)</f>
        <v>22925.9</v>
      </c>
      <c r="D128" s="207">
        <f>IF('Machine Fixed Monthly Cost VS I'!AD12="","",'Machine Fixed Monthly Cost VS I'!AD12)</f>
        <v>12264.099999999999</v>
      </c>
      <c r="E128" s="209" t="str">
        <f>IF('Monthly Running Cost'!N12="","",'Monthly Running Cost'!N12)</f>
        <v/>
      </c>
    </row>
    <row r="129" spans="1:5" x14ac:dyDescent="0.3">
      <c r="A129" s="208" t="s">
        <v>208</v>
      </c>
      <c r="B129" s="207">
        <f>IF('Machine Fixed Monthly Cost VS I'!AF12="","",'Machine Fixed Monthly Cost VS I'!AF12)</f>
        <v>45310</v>
      </c>
      <c r="C129" s="207">
        <f>IF('Machine Fixed Monthly Cost VS I'!AG12="","",'Machine Fixed Monthly Cost VS I'!AG12)</f>
        <v>21860</v>
      </c>
      <c r="D129" s="207">
        <f>IF('Machine Fixed Monthly Cost VS I'!AH12="","",'Machine Fixed Monthly Cost VS I'!AH12)</f>
        <v>23450</v>
      </c>
      <c r="E129" s="209">
        <f>IF('Monthly Running Cost'!P12="","",'Monthly Running Cost'!P12)</f>
        <v>3225</v>
      </c>
    </row>
    <row r="130" spans="1:5" x14ac:dyDescent="0.3">
      <c r="A130" s="208" t="s">
        <v>209</v>
      </c>
      <c r="B130" s="207">
        <f>IF('Machine Fixed Monthly Cost VS I'!AJ12="","",'Machine Fixed Monthly Cost VS I'!AJ12)</f>
        <v>33695</v>
      </c>
      <c r="C130" s="207">
        <f>IF('Machine Fixed Monthly Cost VS I'!AK12="","",'Machine Fixed Monthly Cost VS I'!AK12)</f>
        <v>24185.599999999999</v>
      </c>
      <c r="D130" s="207">
        <f>IF('Machine Fixed Monthly Cost VS I'!AL12="","",'Machine Fixed Monthly Cost VS I'!AL12)</f>
        <v>9509.4000000000015</v>
      </c>
      <c r="E130" s="209">
        <f>IF('Monthly Running Cost'!R12="","",'Monthly Running Cost'!R12)</f>
        <v>6118</v>
      </c>
    </row>
    <row r="131" spans="1:5" x14ac:dyDescent="0.3">
      <c r="A131" s="208" t="s">
        <v>210</v>
      </c>
      <c r="B131" s="207" t="str">
        <f>IF('Machine Fixed Monthly Cost VS I'!AN12="","",'Machine Fixed Monthly Cost VS I'!AN12)</f>
        <v/>
      </c>
      <c r="C131" s="207">
        <f>IF('Machine Fixed Monthly Cost VS I'!AO12="","",'Machine Fixed Monthly Cost VS I'!AO12)</f>
        <v>11362.5</v>
      </c>
      <c r="D131" s="207" t="str">
        <f>IF('Machine Fixed Monthly Cost VS I'!AP12="","",'Machine Fixed Monthly Cost VS I'!AP12)</f>
        <v/>
      </c>
      <c r="E131" s="209" t="str">
        <f>IF('Monthly Running Cost'!T12="","",'Monthly Running Cost'!T12)</f>
        <v/>
      </c>
    </row>
    <row r="132" spans="1:5" x14ac:dyDescent="0.3">
      <c r="A132" s="208" t="s">
        <v>211</v>
      </c>
      <c r="B132" s="207" t="str">
        <f>IF('Machine Fixed Monthly Cost VS I'!AR12="","",'Machine Fixed Monthly Cost VS I'!AR12)</f>
        <v/>
      </c>
      <c r="C132" s="207">
        <f>IF('Machine Fixed Monthly Cost VS I'!AS12="","",'Machine Fixed Monthly Cost VS I'!AS12)</f>
        <v>11362.5</v>
      </c>
      <c r="D132" s="207" t="str">
        <f>IF('Machine Fixed Monthly Cost VS I'!AT12="","",'Machine Fixed Monthly Cost VS I'!AT12)</f>
        <v/>
      </c>
      <c r="E132" s="209" t="str">
        <f>IF('Monthly Running Cost'!V12="","",'Monthly Running Cost'!V12)</f>
        <v/>
      </c>
    </row>
    <row r="133" spans="1:5" x14ac:dyDescent="0.3">
      <c r="A133" s="208" t="s">
        <v>212</v>
      </c>
      <c r="B133" s="207" t="str">
        <f>IF('Machine Fixed Monthly Cost VS I'!AV12="","",'Machine Fixed Monthly Cost VS I'!AV12)</f>
        <v/>
      </c>
      <c r="C133" s="207">
        <f>IF('Machine Fixed Monthly Cost VS I'!AW12="","",'Machine Fixed Monthly Cost VS I'!AW12)</f>
        <v>11362.5</v>
      </c>
      <c r="D133" s="207" t="str">
        <f>IF('Machine Fixed Monthly Cost VS I'!AX12="","",'Machine Fixed Monthly Cost VS I'!AX12)</f>
        <v/>
      </c>
      <c r="E133" s="209" t="str">
        <f>IF('Monthly Running Cost'!X12="","",'Monthly Running Cost'!X12)</f>
        <v/>
      </c>
    </row>
    <row r="134" spans="1:5" x14ac:dyDescent="0.3">
      <c r="A134" s="208" t="s">
        <v>213</v>
      </c>
      <c r="B134" s="207" t="str">
        <f>IF('Machine Fixed Monthly Cost VS I'!AZ12="","",'Machine Fixed Monthly Cost VS I'!AZ12)</f>
        <v/>
      </c>
      <c r="C134" s="207">
        <f>IF('Machine Fixed Monthly Cost VS I'!BA12="","",'Machine Fixed Monthly Cost VS I'!BA12)</f>
        <v>11362.5</v>
      </c>
      <c r="D134" s="207" t="str">
        <f>IF('Machine Fixed Monthly Cost VS I'!BB12="","",'Machine Fixed Monthly Cost VS I'!BB12)</f>
        <v/>
      </c>
      <c r="E134" s="209" t="str">
        <f>IF('Monthly Running Cost'!Z12="","",'Monthly Running Cost'!Z12)</f>
        <v/>
      </c>
    </row>
    <row r="135" spans="1:5" x14ac:dyDescent="0.3">
      <c r="E135" s="209"/>
    </row>
    <row r="136" spans="1:5" x14ac:dyDescent="0.3">
      <c r="A136" s="246" t="s">
        <v>222</v>
      </c>
      <c r="B136" s="246"/>
      <c r="C136" s="246"/>
      <c r="D136" s="246"/>
      <c r="E136" s="209"/>
    </row>
    <row r="137" spans="1:5" x14ac:dyDescent="0.3">
      <c r="A137" s="204" t="s">
        <v>199</v>
      </c>
      <c r="B137" s="205" t="s">
        <v>200</v>
      </c>
      <c r="C137" s="205" t="s">
        <v>201</v>
      </c>
      <c r="D137" s="206" t="s">
        <v>129</v>
      </c>
      <c r="E137" s="210" t="s">
        <v>248</v>
      </c>
    </row>
    <row r="138" spans="1:5" x14ac:dyDescent="0.3">
      <c r="A138" s="208" t="s">
        <v>202</v>
      </c>
      <c r="B138" s="207" t="str">
        <f>IF('Machine Fixed Monthly Cost VS I'!H13="","",'Machine Fixed Monthly Cost VS I'!H13)</f>
        <v/>
      </c>
      <c r="C138" s="207">
        <f>IF('Machine Fixed Monthly Cost VS I'!I13="","",'Machine Fixed Monthly Cost VS I'!I13)</f>
        <v>14716.67</v>
      </c>
      <c r="D138" s="207">
        <f>IF('Machine Fixed Monthly Cost VS I'!J13="","",'Machine Fixed Monthly Cost VS I'!J13)</f>
        <v>-14716.67</v>
      </c>
      <c r="E138" s="209">
        <f>IF('Monthly Running Cost'!D13="","",'Monthly Running Cost'!D13)</f>
        <v>2657.58</v>
      </c>
    </row>
    <row r="139" spans="1:5" x14ac:dyDescent="0.3">
      <c r="A139" s="208" t="s">
        <v>203</v>
      </c>
      <c r="B139" s="207">
        <f>IF('Machine Fixed Monthly Cost VS I'!L13="","",'Machine Fixed Monthly Cost VS I'!L13)</f>
        <v>16275.374999999998</v>
      </c>
      <c r="C139" s="207">
        <f>IF('Machine Fixed Monthly Cost VS I'!M13="","",'Machine Fixed Monthly Cost VS I'!M13)</f>
        <v>14716.67</v>
      </c>
      <c r="D139" s="207">
        <f>IF('Machine Fixed Monthly Cost VS I'!N13="","",'Machine Fixed Monthly Cost VS I'!N13)</f>
        <v>1558.7049999999981</v>
      </c>
      <c r="E139" s="209">
        <f>IF('Monthly Running Cost'!F13="","",'Monthly Running Cost'!F13)</f>
        <v>460</v>
      </c>
    </row>
    <row r="140" spans="1:5" x14ac:dyDescent="0.3">
      <c r="A140" s="208" t="s">
        <v>204</v>
      </c>
      <c r="B140" s="207">
        <f>IF('Machine Fixed Monthly Cost VS I'!P13="","",'Machine Fixed Monthly Cost VS I'!P13)</f>
        <v>41699</v>
      </c>
      <c r="C140" s="207">
        <f>IF('Machine Fixed Monthly Cost VS I'!Q13="","",'Machine Fixed Monthly Cost VS I'!Q13)</f>
        <v>14716.67</v>
      </c>
      <c r="D140" s="207">
        <f>IF('Machine Fixed Monthly Cost VS I'!R13="","",'Machine Fixed Monthly Cost VS I'!R13)</f>
        <v>26982.33</v>
      </c>
      <c r="E140" s="209" t="str">
        <f>IF('Monthly Running Cost'!H13="","",'Monthly Running Cost'!H13)</f>
        <v/>
      </c>
    </row>
    <row r="141" spans="1:5" x14ac:dyDescent="0.3">
      <c r="A141" s="208" t="s">
        <v>205</v>
      </c>
      <c r="B141" s="207">
        <f>IF('Machine Fixed Monthly Cost VS I'!T13="","",'Machine Fixed Monthly Cost VS I'!T13)</f>
        <v>31593.38</v>
      </c>
      <c r="C141" s="207">
        <f>IF('Machine Fixed Monthly Cost VS I'!U13="","",'Machine Fixed Monthly Cost VS I'!U13)</f>
        <v>14716.67</v>
      </c>
      <c r="D141" s="207">
        <f>IF('Machine Fixed Monthly Cost VS I'!V13="","",'Machine Fixed Monthly Cost VS I'!V13)</f>
        <v>16876.71</v>
      </c>
      <c r="E141" s="209">
        <f>IF('Monthly Running Cost'!J13="","",'Monthly Running Cost'!J13)</f>
        <v>890</v>
      </c>
    </row>
    <row r="142" spans="1:5" x14ac:dyDescent="0.3">
      <c r="A142" s="208" t="s">
        <v>206</v>
      </c>
      <c r="B142" s="207">
        <f>IF('Machine Fixed Monthly Cost VS I'!X13="","",'Machine Fixed Monthly Cost VS I'!X13)</f>
        <v>31699.75</v>
      </c>
      <c r="C142" s="207">
        <f>IF('Machine Fixed Monthly Cost VS I'!Y13="","",'Machine Fixed Monthly Cost VS I'!Y13)</f>
        <v>14716.67</v>
      </c>
      <c r="D142" s="207">
        <f>IF('Machine Fixed Monthly Cost VS I'!Z13="","",'Machine Fixed Monthly Cost VS I'!Z13)</f>
        <v>16983.080000000002</v>
      </c>
      <c r="E142" s="209">
        <f>IF('Monthly Running Cost'!L13="","",'Monthly Running Cost'!L13)</f>
        <v>4245</v>
      </c>
    </row>
    <row r="143" spans="1:5" x14ac:dyDescent="0.3">
      <c r="A143" s="208" t="s">
        <v>207</v>
      </c>
      <c r="B143" s="207">
        <f>IF('Machine Fixed Monthly Cost VS I'!AB13="","",'Machine Fixed Monthly Cost VS I'!AB13)</f>
        <v>20104.88</v>
      </c>
      <c r="C143" s="207">
        <f>IF('Machine Fixed Monthly Cost VS I'!AC13="","",'Machine Fixed Monthly Cost VS I'!AC13)</f>
        <v>14716.67</v>
      </c>
      <c r="D143" s="207">
        <f>IF('Machine Fixed Monthly Cost VS I'!AD13="","",'Machine Fixed Monthly Cost VS I'!AD13)</f>
        <v>5388.2100000000009</v>
      </c>
      <c r="E143" s="209">
        <f>IF('Monthly Running Cost'!N13="","",'Monthly Running Cost'!N13)</f>
        <v>7772.4699999999993</v>
      </c>
    </row>
    <row r="144" spans="1:5" x14ac:dyDescent="0.3">
      <c r="A144" s="208" t="s">
        <v>208</v>
      </c>
      <c r="B144" s="207">
        <f>IF('Machine Fixed Monthly Cost VS I'!AF13="","",'Machine Fixed Monthly Cost VS I'!AF13)</f>
        <v>47017.75</v>
      </c>
      <c r="C144" s="207">
        <f>IF('Machine Fixed Monthly Cost VS I'!AG13="","",'Machine Fixed Monthly Cost VS I'!AG13)</f>
        <v>14716.67</v>
      </c>
      <c r="D144" s="207">
        <f>IF('Machine Fixed Monthly Cost VS I'!AH13="","",'Machine Fixed Monthly Cost VS I'!AH13)</f>
        <v>32301.08</v>
      </c>
      <c r="E144" s="209" t="str">
        <f>IF('Monthly Running Cost'!P13="","",'Monthly Running Cost'!P13)</f>
        <v/>
      </c>
    </row>
    <row r="145" spans="1:5" x14ac:dyDescent="0.3">
      <c r="A145" s="208" t="s">
        <v>209</v>
      </c>
      <c r="B145" s="207">
        <f>IF('Machine Fixed Monthly Cost VS I'!AJ13="","",'Machine Fixed Monthly Cost VS I'!AJ13)</f>
        <v>33614.5</v>
      </c>
      <c r="C145" s="207">
        <f>IF('Machine Fixed Monthly Cost VS I'!AK13="","",'Machine Fixed Monthly Cost VS I'!AK13)</f>
        <v>14716.67</v>
      </c>
      <c r="D145" s="207">
        <f>IF('Machine Fixed Monthly Cost VS I'!AL13="","",'Machine Fixed Monthly Cost VS I'!AL13)</f>
        <v>18897.830000000002</v>
      </c>
      <c r="E145" s="209">
        <f>IF('Monthly Running Cost'!R13="","",'Monthly Running Cost'!R13)</f>
        <v>4209.71</v>
      </c>
    </row>
    <row r="146" spans="1:5" x14ac:dyDescent="0.3">
      <c r="A146" s="208" t="s">
        <v>210</v>
      </c>
      <c r="B146" s="207" t="str">
        <f>IF('Machine Fixed Monthly Cost VS I'!AN13="","",'Machine Fixed Monthly Cost VS I'!AN13)</f>
        <v/>
      </c>
      <c r="C146" s="207">
        <f>IF('Machine Fixed Monthly Cost VS I'!AO13="","",'Machine Fixed Monthly Cost VS I'!AO13)</f>
        <v>14716.67</v>
      </c>
      <c r="D146" s="207" t="str">
        <f>IF('Machine Fixed Monthly Cost VS I'!AP13="","",'Machine Fixed Monthly Cost VS I'!AP13)</f>
        <v/>
      </c>
      <c r="E146" s="209" t="str">
        <f>IF('Monthly Running Cost'!T13="","",'Monthly Running Cost'!T13)</f>
        <v/>
      </c>
    </row>
    <row r="147" spans="1:5" x14ac:dyDescent="0.3">
      <c r="A147" s="208" t="s">
        <v>211</v>
      </c>
      <c r="B147" s="207" t="str">
        <f>IF('Machine Fixed Monthly Cost VS I'!AR13="","",'Machine Fixed Monthly Cost VS I'!AR13)</f>
        <v/>
      </c>
      <c r="C147" s="207">
        <f>IF('Machine Fixed Monthly Cost VS I'!AS13="","",'Machine Fixed Monthly Cost VS I'!AS13)</f>
        <v>14716.67</v>
      </c>
      <c r="D147" s="207" t="str">
        <f>IF('Machine Fixed Monthly Cost VS I'!AT13="","",'Machine Fixed Monthly Cost VS I'!AT13)</f>
        <v/>
      </c>
      <c r="E147" s="209" t="str">
        <f>IF('Monthly Running Cost'!V13="","",'Monthly Running Cost'!V13)</f>
        <v/>
      </c>
    </row>
    <row r="148" spans="1:5" x14ac:dyDescent="0.3">
      <c r="A148" s="208" t="s">
        <v>212</v>
      </c>
      <c r="B148" s="207" t="str">
        <f>IF('Machine Fixed Monthly Cost VS I'!AV13="","",'Machine Fixed Monthly Cost VS I'!AV13)</f>
        <v/>
      </c>
      <c r="C148" s="207">
        <f>IF('Machine Fixed Monthly Cost VS I'!AW13="","",'Machine Fixed Monthly Cost VS I'!AW13)</f>
        <v>14716.67</v>
      </c>
      <c r="D148" s="207" t="str">
        <f>IF('Machine Fixed Monthly Cost VS I'!AX13="","",'Machine Fixed Monthly Cost VS I'!AX13)</f>
        <v/>
      </c>
      <c r="E148" s="209" t="str">
        <f>IF('Monthly Running Cost'!X13="","",'Monthly Running Cost'!X13)</f>
        <v/>
      </c>
    </row>
    <row r="149" spans="1:5" x14ac:dyDescent="0.3">
      <c r="A149" s="208" t="s">
        <v>213</v>
      </c>
      <c r="B149" s="207" t="str">
        <f>IF('Machine Fixed Monthly Cost VS I'!AZ13="","",'Machine Fixed Monthly Cost VS I'!AZ13)</f>
        <v/>
      </c>
      <c r="C149" s="207">
        <f>IF('Machine Fixed Monthly Cost VS I'!BA13="","",'Machine Fixed Monthly Cost VS I'!BA13)</f>
        <v>14716.67</v>
      </c>
      <c r="D149" s="207" t="str">
        <f>IF('Machine Fixed Monthly Cost VS I'!BB13="","",'Machine Fixed Monthly Cost VS I'!BB13)</f>
        <v/>
      </c>
      <c r="E149" s="209" t="str">
        <f>IF('Monthly Running Cost'!Z13="","",'Monthly Running Cost'!Z13)</f>
        <v/>
      </c>
    </row>
    <row r="150" spans="1:5" x14ac:dyDescent="0.3">
      <c r="E150" s="209"/>
    </row>
    <row r="151" spans="1:5" x14ac:dyDescent="0.3">
      <c r="A151" s="246" t="s">
        <v>223</v>
      </c>
      <c r="B151" s="246"/>
      <c r="C151" s="246"/>
      <c r="D151" s="246"/>
      <c r="E151" s="209"/>
    </row>
    <row r="152" spans="1:5" x14ac:dyDescent="0.3">
      <c r="A152" s="204" t="s">
        <v>199</v>
      </c>
      <c r="B152" s="205" t="s">
        <v>200</v>
      </c>
      <c r="C152" s="205" t="s">
        <v>201</v>
      </c>
      <c r="D152" s="206" t="s">
        <v>129</v>
      </c>
      <c r="E152" s="210" t="s">
        <v>248</v>
      </c>
    </row>
    <row r="153" spans="1:5" x14ac:dyDescent="0.3">
      <c r="A153" s="208" t="s">
        <v>202</v>
      </c>
      <c r="B153" s="207">
        <f>IF('Machine Fixed Monthly Cost VS I'!H14="","",'Machine Fixed Monthly Cost VS I'!H14)</f>
        <v>29531.999999999996</v>
      </c>
      <c r="C153" s="207">
        <f>IF('Machine Fixed Monthly Cost VS I'!I14="","",'Machine Fixed Monthly Cost VS I'!I14)</f>
        <v>14716.67</v>
      </c>
      <c r="D153" s="207">
        <f>IF('Machine Fixed Monthly Cost VS I'!J14="","",'Machine Fixed Monthly Cost VS I'!J14)</f>
        <v>14815.329999999996</v>
      </c>
      <c r="E153" s="209" t="str">
        <f>IF('Monthly Running Cost'!D14="","",'Monthly Running Cost'!D14)</f>
        <v/>
      </c>
    </row>
    <row r="154" spans="1:5" x14ac:dyDescent="0.3">
      <c r="A154" s="208" t="s">
        <v>203</v>
      </c>
      <c r="B154" s="207">
        <f>IF('Machine Fixed Monthly Cost VS I'!L14="","",'Machine Fixed Monthly Cost VS I'!L14)</f>
        <v>47333.999999999993</v>
      </c>
      <c r="C154" s="207">
        <f>IF('Machine Fixed Monthly Cost VS I'!M14="","",'Machine Fixed Monthly Cost VS I'!M14)</f>
        <v>14716.67</v>
      </c>
      <c r="D154" s="207">
        <f>IF('Machine Fixed Monthly Cost VS I'!N14="","",'Machine Fixed Monthly Cost VS I'!N14)</f>
        <v>32617.329999999994</v>
      </c>
      <c r="E154" s="209" t="str">
        <f>IF('Monthly Running Cost'!F14="","",'Monthly Running Cost'!F14)</f>
        <v/>
      </c>
    </row>
    <row r="155" spans="1:5" x14ac:dyDescent="0.3">
      <c r="A155" s="208" t="s">
        <v>204</v>
      </c>
      <c r="B155" s="207">
        <f>IF('Machine Fixed Monthly Cost VS I'!P14="","",'Machine Fixed Monthly Cost VS I'!P14)</f>
        <v>54095.999999999993</v>
      </c>
      <c r="C155" s="207">
        <f>IF('Machine Fixed Monthly Cost VS I'!Q14="","",'Machine Fixed Monthly Cost VS I'!Q14)</f>
        <v>14716.67</v>
      </c>
      <c r="D155" s="207">
        <f>IF('Machine Fixed Monthly Cost VS I'!R14="","",'Machine Fixed Monthly Cost VS I'!R14)</f>
        <v>39379.329999999994</v>
      </c>
      <c r="E155" s="209">
        <f>IF('Monthly Running Cost'!H14="","",'Monthly Running Cost'!H14)</f>
        <v>110</v>
      </c>
    </row>
    <row r="156" spans="1:5" x14ac:dyDescent="0.3">
      <c r="A156" s="208" t="s">
        <v>205</v>
      </c>
      <c r="B156" s="207">
        <f>IF('Machine Fixed Monthly Cost VS I'!T14="","",'Machine Fixed Monthly Cost VS I'!T14)</f>
        <v>40986</v>
      </c>
      <c r="C156" s="207">
        <f>IF('Machine Fixed Monthly Cost VS I'!U14="","",'Machine Fixed Monthly Cost VS I'!U14)</f>
        <v>14716.67</v>
      </c>
      <c r="D156" s="207">
        <f>IF('Machine Fixed Monthly Cost VS I'!V14="","",'Machine Fixed Monthly Cost VS I'!V14)</f>
        <v>26269.33</v>
      </c>
      <c r="E156" s="209" t="str">
        <f>IF('Monthly Running Cost'!J14="","",'Monthly Running Cost'!J14)</f>
        <v/>
      </c>
    </row>
    <row r="157" spans="1:5" x14ac:dyDescent="0.3">
      <c r="A157" s="208" t="s">
        <v>206</v>
      </c>
      <c r="B157" s="207">
        <f>IF('Machine Fixed Monthly Cost VS I'!X14="","",'Machine Fixed Monthly Cost VS I'!X14)</f>
        <v>41538</v>
      </c>
      <c r="C157" s="207">
        <f>IF('Machine Fixed Monthly Cost VS I'!Y14="","",'Machine Fixed Monthly Cost VS I'!Y14)</f>
        <v>14716.67</v>
      </c>
      <c r="D157" s="207">
        <f>IF('Machine Fixed Monthly Cost VS I'!Z14="","",'Machine Fixed Monthly Cost VS I'!Z14)</f>
        <v>26821.33</v>
      </c>
      <c r="E157" s="209">
        <f>IF('Monthly Running Cost'!L14="","",'Monthly Running Cost'!L14)</f>
        <v>962.63</v>
      </c>
    </row>
    <row r="158" spans="1:5" x14ac:dyDescent="0.3">
      <c r="A158" s="208" t="s">
        <v>207</v>
      </c>
      <c r="B158" s="207">
        <f>IF('Machine Fixed Monthly Cost VS I'!AB14="","",'Machine Fixed Monthly Cost VS I'!AB14)</f>
        <v>52440</v>
      </c>
      <c r="C158" s="207">
        <f>IF('Machine Fixed Monthly Cost VS I'!AC14="","",'Machine Fixed Monthly Cost VS I'!AC14)</f>
        <v>14716.67</v>
      </c>
      <c r="D158" s="207">
        <f>IF('Machine Fixed Monthly Cost VS I'!AD14="","",'Machine Fixed Monthly Cost VS I'!AD14)</f>
        <v>37723.33</v>
      </c>
      <c r="E158" s="209" t="str">
        <f>IF('Monthly Running Cost'!N14="","",'Monthly Running Cost'!N14)</f>
        <v/>
      </c>
    </row>
    <row r="159" spans="1:5" x14ac:dyDescent="0.3">
      <c r="A159" s="208" t="s">
        <v>208</v>
      </c>
      <c r="B159" s="207">
        <f>IF('Machine Fixed Monthly Cost VS I'!AF14="","",'Machine Fixed Monthly Cost VS I'!AF14)</f>
        <v>56994</v>
      </c>
      <c r="C159" s="207">
        <f>IF('Machine Fixed Monthly Cost VS I'!AG14="","",'Machine Fixed Monthly Cost VS I'!AG14)</f>
        <v>14716.67</v>
      </c>
      <c r="D159" s="207">
        <f>IF('Machine Fixed Monthly Cost VS I'!AH14="","",'Machine Fixed Monthly Cost VS I'!AH14)</f>
        <v>42277.33</v>
      </c>
      <c r="E159" s="209">
        <f>IF('Monthly Running Cost'!P14="","",'Monthly Running Cost'!P14)</f>
        <v>3219.0099999999998</v>
      </c>
    </row>
    <row r="160" spans="1:5" x14ac:dyDescent="0.3">
      <c r="A160" s="208" t="s">
        <v>209</v>
      </c>
      <c r="B160" s="207">
        <f>IF('Machine Fixed Monthly Cost VS I'!AJ14="","",'Machine Fixed Monthly Cost VS I'!AJ14)</f>
        <v>46644</v>
      </c>
      <c r="C160" s="207">
        <f>IF('Machine Fixed Monthly Cost VS I'!AK14="","",'Machine Fixed Monthly Cost VS I'!AK14)</f>
        <v>14716.67</v>
      </c>
      <c r="D160" s="207">
        <f>IF('Machine Fixed Monthly Cost VS I'!AL14="","",'Machine Fixed Monthly Cost VS I'!AL14)</f>
        <v>31927.33</v>
      </c>
      <c r="E160" s="209" t="str">
        <f>IF('Monthly Running Cost'!R14="","",'Monthly Running Cost'!R14)</f>
        <v/>
      </c>
    </row>
    <row r="161" spans="1:5" x14ac:dyDescent="0.3">
      <c r="A161" s="208" t="s">
        <v>210</v>
      </c>
      <c r="B161" s="207" t="str">
        <f>IF('Machine Fixed Monthly Cost VS I'!AN14="","",'Machine Fixed Monthly Cost VS I'!AN14)</f>
        <v/>
      </c>
      <c r="C161" s="207">
        <f>IF('Machine Fixed Monthly Cost VS I'!AO14="","",'Machine Fixed Monthly Cost VS I'!AO14)</f>
        <v>14716.67</v>
      </c>
      <c r="D161" s="207" t="str">
        <f>IF('Machine Fixed Monthly Cost VS I'!AP14="","",'Machine Fixed Monthly Cost VS I'!AP14)</f>
        <v/>
      </c>
      <c r="E161" s="209" t="str">
        <f>IF('Monthly Running Cost'!T14="","",'Monthly Running Cost'!T14)</f>
        <v/>
      </c>
    </row>
    <row r="162" spans="1:5" x14ac:dyDescent="0.3">
      <c r="A162" s="208" t="s">
        <v>211</v>
      </c>
      <c r="B162" s="207" t="str">
        <f>IF('Machine Fixed Monthly Cost VS I'!AR14="","",'Machine Fixed Monthly Cost VS I'!AR14)</f>
        <v/>
      </c>
      <c r="C162" s="207">
        <f>IF('Machine Fixed Monthly Cost VS I'!AS14="","",'Machine Fixed Monthly Cost VS I'!AS14)</f>
        <v>14716.67</v>
      </c>
      <c r="D162" s="207" t="str">
        <f>IF('Machine Fixed Monthly Cost VS I'!AT14="","",'Machine Fixed Monthly Cost VS I'!AT14)</f>
        <v/>
      </c>
      <c r="E162" s="209" t="str">
        <f>IF('Monthly Running Cost'!V14="","",'Monthly Running Cost'!V14)</f>
        <v/>
      </c>
    </row>
    <row r="163" spans="1:5" x14ac:dyDescent="0.3">
      <c r="A163" s="208" t="s">
        <v>212</v>
      </c>
      <c r="B163" s="207" t="str">
        <f>IF('Machine Fixed Monthly Cost VS I'!AV14="","",'Machine Fixed Monthly Cost VS I'!AV14)</f>
        <v/>
      </c>
      <c r="C163" s="207">
        <f>IF('Machine Fixed Monthly Cost VS I'!AW14="","",'Machine Fixed Monthly Cost VS I'!AW14)</f>
        <v>14716.67</v>
      </c>
      <c r="D163" s="207" t="str">
        <f>IF('Machine Fixed Monthly Cost VS I'!AX14="","",'Machine Fixed Monthly Cost VS I'!AX14)</f>
        <v/>
      </c>
      <c r="E163" s="209" t="str">
        <f>IF('Monthly Running Cost'!X14="","",'Monthly Running Cost'!X14)</f>
        <v/>
      </c>
    </row>
    <row r="164" spans="1:5" x14ac:dyDescent="0.3">
      <c r="A164" s="208" t="s">
        <v>213</v>
      </c>
      <c r="B164" s="207" t="str">
        <f>IF('Machine Fixed Monthly Cost VS I'!AZ14="","",'Machine Fixed Monthly Cost VS I'!AZ14)</f>
        <v/>
      </c>
      <c r="C164" s="207">
        <f>IF('Machine Fixed Monthly Cost VS I'!BA14="","",'Machine Fixed Monthly Cost VS I'!BA14)</f>
        <v>14716.67</v>
      </c>
      <c r="D164" s="207" t="str">
        <f>IF('Machine Fixed Monthly Cost VS I'!BB14="","",'Machine Fixed Monthly Cost VS I'!BB14)</f>
        <v/>
      </c>
      <c r="E164" s="209" t="str">
        <f>IF('Monthly Running Cost'!Z14="","",'Monthly Running Cost'!Z14)</f>
        <v/>
      </c>
    </row>
    <row r="165" spans="1:5" x14ac:dyDescent="0.3">
      <c r="E165" s="209"/>
    </row>
    <row r="166" spans="1:5" x14ac:dyDescent="0.3">
      <c r="A166" s="246" t="s">
        <v>224</v>
      </c>
      <c r="B166" s="246"/>
      <c r="C166" s="246"/>
      <c r="D166" s="246"/>
      <c r="E166" s="209"/>
    </row>
    <row r="167" spans="1:5" x14ac:dyDescent="0.3">
      <c r="A167" s="204" t="s">
        <v>199</v>
      </c>
      <c r="B167" s="205" t="s">
        <v>200</v>
      </c>
      <c r="C167" s="205" t="s">
        <v>201</v>
      </c>
      <c r="D167" s="206" t="s">
        <v>129</v>
      </c>
      <c r="E167" s="210" t="s">
        <v>248</v>
      </c>
    </row>
    <row r="168" spans="1:5" x14ac:dyDescent="0.3">
      <c r="A168" s="208" t="s">
        <v>202</v>
      </c>
      <c r="B168" s="207" t="str">
        <f>IF('Machine Fixed Monthly Cost VS I'!H15="","",'Machine Fixed Monthly Cost VS I'!H15)</f>
        <v/>
      </c>
      <c r="C168" s="207">
        <f>IF('Machine Fixed Monthly Cost VS I'!I15="","",'Machine Fixed Monthly Cost VS I'!I15)</f>
        <v>38304.449999999997</v>
      </c>
      <c r="D168" s="207">
        <f>IF('Machine Fixed Monthly Cost VS I'!J15="","",'Machine Fixed Monthly Cost VS I'!J15)</f>
        <v>-38304.449999999997</v>
      </c>
      <c r="E168" s="209">
        <f>IF('Monthly Running Cost'!D15="","",'Monthly Running Cost'!D15)</f>
        <v>2279.85</v>
      </c>
    </row>
    <row r="169" spans="1:5" x14ac:dyDescent="0.3">
      <c r="A169" s="208" t="s">
        <v>203</v>
      </c>
      <c r="B169" s="207">
        <f>IF('Machine Fixed Monthly Cost VS I'!L15="","",'Machine Fixed Monthly Cost VS I'!L15)</f>
        <v>33534</v>
      </c>
      <c r="C169" s="207">
        <f>IF('Machine Fixed Monthly Cost VS I'!M15="","",'Machine Fixed Monthly Cost VS I'!M15)</f>
        <v>42212.75</v>
      </c>
      <c r="D169" s="207">
        <f>IF('Machine Fixed Monthly Cost VS I'!N15="","",'Machine Fixed Monthly Cost VS I'!N15)</f>
        <v>-8678.75</v>
      </c>
      <c r="E169" s="209">
        <f>IF('Monthly Running Cost'!F15="","",'Monthly Running Cost'!F15)</f>
        <v>3890</v>
      </c>
    </row>
    <row r="170" spans="1:5" x14ac:dyDescent="0.3">
      <c r="A170" s="208" t="s">
        <v>204</v>
      </c>
      <c r="B170" s="207">
        <f>IF('Machine Fixed Monthly Cost VS I'!P15="","",'Machine Fixed Monthly Cost VS I'!P15)</f>
        <v>57821.999999999993</v>
      </c>
      <c r="C170" s="207">
        <f>IF('Machine Fixed Monthly Cost VS I'!Q15="","",'Machine Fixed Monthly Cost VS I'!Q15)</f>
        <v>40694.65</v>
      </c>
      <c r="D170" s="207">
        <f>IF('Machine Fixed Monthly Cost VS I'!R15="","",'Machine Fixed Monthly Cost VS I'!R15)</f>
        <v>17127.349999999991</v>
      </c>
      <c r="E170" s="209">
        <f>IF('Monthly Running Cost'!H15="","",'Monthly Running Cost'!H15)</f>
        <v>6080</v>
      </c>
    </row>
    <row r="171" spans="1:5" x14ac:dyDescent="0.3">
      <c r="A171" s="208" t="s">
        <v>205</v>
      </c>
      <c r="B171" s="207">
        <f>IF('Machine Fixed Monthly Cost VS I'!T15="","",'Machine Fixed Monthly Cost VS I'!T15)</f>
        <v>11040</v>
      </c>
      <c r="C171" s="207">
        <f>IF('Machine Fixed Monthly Cost VS I'!U15="","",'Machine Fixed Monthly Cost VS I'!U15)</f>
        <v>42148.15</v>
      </c>
      <c r="D171" s="207">
        <f>IF('Machine Fixed Monthly Cost VS I'!V15="","",'Machine Fixed Monthly Cost VS I'!V15)</f>
        <v>-31108.15</v>
      </c>
      <c r="E171" s="209">
        <f>IF('Monthly Running Cost'!J15="","",'Monthly Running Cost'!J15)</f>
        <v>17682.560000000001</v>
      </c>
    </row>
    <row r="172" spans="1:5" x14ac:dyDescent="0.3">
      <c r="A172" s="208" t="s">
        <v>206</v>
      </c>
      <c r="B172" s="207">
        <f>IF('Machine Fixed Monthly Cost VS I'!X15="","",'Machine Fixed Monthly Cost VS I'!X15)</f>
        <v>41952</v>
      </c>
      <c r="C172" s="207">
        <f>IF('Machine Fixed Monthly Cost VS I'!Y15="","",'Machine Fixed Monthly Cost VS I'!Y15)</f>
        <v>42245.05</v>
      </c>
      <c r="D172" s="207">
        <f>IF('Machine Fixed Monthly Cost VS I'!Z15="","",'Machine Fixed Monthly Cost VS I'!Z15)</f>
        <v>-293.05000000000291</v>
      </c>
      <c r="E172" s="209">
        <f>IF('Monthly Running Cost'!L15="","",'Monthly Running Cost'!L15)</f>
        <v>734.27</v>
      </c>
    </row>
    <row r="173" spans="1:5" x14ac:dyDescent="0.3">
      <c r="A173" s="208" t="s">
        <v>207</v>
      </c>
      <c r="B173" s="207">
        <f>IF('Machine Fixed Monthly Cost VS I'!AB15="","",'Machine Fixed Monthly Cost VS I'!AB15)</f>
        <v>42366</v>
      </c>
      <c r="C173" s="207">
        <f>IF('Machine Fixed Monthly Cost VS I'!AC15="","",'Machine Fixed Monthly Cost VS I'!AC15)</f>
        <v>42212.75</v>
      </c>
      <c r="D173" s="207">
        <f>IF('Machine Fixed Monthly Cost VS I'!AD15="","",'Machine Fixed Monthly Cost VS I'!AD15)</f>
        <v>153.25</v>
      </c>
      <c r="E173" s="209">
        <f>IF('Monthly Running Cost'!N15="","",'Monthly Running Cost'!N15)</f>
        <v>79.900000000000006</v>
      </c>
    </row>
    <row r="174" spans="1:5" x14ac:dyDescent="0.3">
      <c r="A174" s="208" t="s">
        <v>208</v>
      </c>
      <c r="B174" s="207">
        <f>IF('Machine Fixed Monthly Cost VS I'!AF15="","",'Machine Fixed Monthly Cost VS I'!AF15)</f>
        <v>58788</v>
      </c>
      <c r="C174" s="207">
        <f>IF('Machine Fixed Monthly Cost VS I'!AG15="","",'Machine Fixed Monthly Cost VS I'!AG15)</f>
        <v>41760.550000000003</v>
      </c>
      <c r="D174" s="207">
        <f>IF('Machine Fixed Monthly Cost VS I'!AH15="","",'Machine Fixed Monthly Cost VS I'!AH15)</f>
        <v>17027.449999999997</v>
      </c>
      <c r="E174" s="209">
        <f>IF('Monthly Running Cost'!P15="","",'Monthly Running Cost'!P15)</f>
        <v>6239.68</v>
      </c>
    </row>
    <row r="175" spans="1:5" x14ac:dyDescent="0.3">
      <c r="A175" s="208" t="s">
        <v>209</v>
      </c>
      <c r="B175" s="207">
        <f>IF('Machine Fixed Monthly Cost VS I'!AJ15="","",'Machine Fixed Monthly Cost VS I'!AJ15)</f>
        <v>41124</v>
      </c>
      <c r="C175" s="207">
        <f>IF('Machine Fixed Monthly Cost VS I'!AK15="","",'Machine Fixed Monthly Cost VS I'!AK15)</f>
        <v>42341.95</v>
      </c>
      <c r="D175" s="207">
        <f>IF('Machine Fixed Monthly Cost VS I'!AL15="","",'Machine Fixed Monthly Cost VS I'!AL15)</f>
        <v>-1217.9499999999971</v>
      </c>
      <c r="E175" s="209">
        <f>IF('Monthly Running Cost'!R15="","",'Monthly Running Cost'!R15)</f>
        <v>958.64</v>
      </c>
    </row>
    <row r="176" spans="1:5" x14ac:dyDescent="0.3">
      <c r="A176" s="208" t="s">
        <v>210</v>
      </c>
      <c r="B176" s="207" t="str">
        <f>IF('Machine Fixed Monthly Cost VS I'!AN15="","",'Machine Fixed Monthly Cost VS I'!AN15)</f>
        <v/>
      </c>
      <c r="C176" s="207">
        <f>IF('Machine Fixed Monthly Cost VS I'!AO15="","",'Machine Fixed Monthly Cost VS I'!AO15)</f>
        <v>30100.25</v>
      </c>
      <c r="D176" s="207" t="str">
        <f>IF('Machine Fixed Monthly Cost VS I'!AP15="","",'Machine Fixed Monthly Cost VS I'!AP15)</f>
        <v/>
      </c>
      <c r="E176" s="209" t="str">
        <f>IF('Monthly Running Cost'!T15="","",'Monthly Running Cost'!T15)</f>
        <v/>
      </c>
    </row>
    <row r="177" spans="1:5" x14ac:dyDescent="0.3">
      <c r="A177" s="208" t="s">
        <v>211</v>
      </c>
      <c r="B177" s="207" t="str">
        <f>IF('Machine Fixed Monthly Cost VS I'!AR15="","",'Machine Fixed Monthly Cost VS I'!AR15)</f>
        <v/>
      </c>
      <c r="C177" s="207">
        <f>IF('Machine Fixed Monthly Cost VS I'!AS15="","",'Machine Fixed Monthly Cost VS I'!AS15)</f>
        <v>30100.25</v>
      </c>
      <c r="D177" s="207" t="str">
        <f>IF('Machine Fixed Monthly Cost VS I'!AT15="","",'Machine Fixed Monthly Cost VS I'!AT15)</f>
        <v/>
      </c>
      <c r="E177" s="209" t="str">
        <f>IF('Monthly Running Cost'!V15="","",'Monthly Running Cost'!V15)</f>
        <v/>
      </c>
    </row>
    <row r="178" spans="1:5" x14ac:dyDescent="0.3">
      <c r="A178" s="208" t="s">
        <v>212</v>
      </c>
      <c r="B178" s="207" t="str">
        <f>IF('Machine Fixed Monthly Cost VS I'!AV15="","",'Machine Fixed Monthly Cost VS I'!AV15)</f>
        <v/>
      </c>
      <c r="C178" s="207">
        <f>IF('Machine Fixed Monthly Cost VS I'!AW15="","",'Machine Fixed Monthly Cost VS I'!AW15)</f>
        <v>30100.25</v>
      </c>
      <c r="D178" s="207" t="str">
        <f>IF('Machine Fixed Monthly Cost VS I'!AX15="","",'Machine Fixed Monthly Cost VS I'!AX15)</f>
        <v/>
      </c>
      <c r="E178" s="209" t="str">
        <f>IF('Monthly Running Cost'!X15="","",'Monthly Running Cost'!X15)</f>
        <v/>
      </c>
    </row>
    <row r="179" spans="1:5" x14ac:dyDescent="0.3">
      <c r="A179" s="208" t="s">
        <v>213</v>
      </c>
      <c r="B179" s="207" t="str">
        <f>IF('Machine Fixed Monthly Cost VS I'!AZ15="","",'Machine Fixed Monthly Cost VS I'!AZ15)</f>
        <v/>
      </c>
      <c r="C179" s="207">
        <f>IF('Machine Fixed Monthly Cost VS I'!BA15="","",'Machine Fixed Monthly Cost VS I'!BA15)</f>
        <v>30100.25</v>
      </c>
      <c r="D179" s="207" t="str">
        <f>IF('Machine Fixed Monthly Cost VS I'!BB15="","",'Machine Fixed Monthly Cost VS I'!BB15)</f>
        <v/>
      </c>
      <c r="E179" s="209" t="str">
        <f>IF('Monthly Running Cost'!Z15="","",'Monthly Running Cost'!Z15)</f>
        <v/>
      </c>
    </row>
    <row r="180" spans="1:5" x14ac:dyDescent="0.3">
      <c r="E180" s="209"/>
    </row>
    <row r="181" spans="1:5" x14ac:dyDescent="0.3">
      <c r="A181" s="246" t="s">
        <v>225</v>
      </c>
      <c r="B181" s="246"/>
      <c r="C181" s="246"/>
      <c r="D181" s="246"/>
      <c r="E181" s="209"/>
    </row>
    <row r="182" spans="1:5" x14ac:dyDescent="0.3">
      <c r="A182" s="204" t="s">
        <v>199</v>
      </c>
      <c r="B182" s="205" t="s">
        <v>200</v>
      </c>
      <c r="C182" s="205" t="s">
        <v>201</v>
      </c>
      <c r="D182" s="206" t="s">
        <v>129</v>
      </c>
      <c r="E182" s="210" t="s">
        <v>248</v>
      </c>
    </row>
    <row r="183" spans="1:5" x14ac:dyDescent="0.3">
      <c r="A183" s="208" t="s">
        <v>202</v>
      </c>
      <c r="B183" s="207">
        <f>IF('Machine Fixed Monthly Cost VS I'!H16="","",'Machine Fixed Monthly Cost VS I'!H16)</f>
        <v>41063.625</v>
      </c>
      <c r="C183" s="207">
        <f>IF('Machine Fixed Monthly Cost VS I'!I16="","",'Machine Fixed Monthly Cost VS I'!I16)</f>
        <v>50524.369999999995</v>
      </c>
      <c r="D183" s="207">
        <f>IF('Machine Fixed Monthly Cost VS I'!J16="","",'Machine Fixed Monthly Cost VS I'!J16)</f>
        <v>-9460.7449999999953</v>
      </c>
      <c r="E183" s="209">
        <f>IF('Monthly Running Cost'!D16="","",'Monthly Running Cost'!D16)</f>
        <v>22620.53</v>
      </c>
    </row>
    <row r="184" spans="1:5" x14ac:dyDescent="0.3">
      <c r="A184" s="208" t="s">
        <v>203</v>
      </c>
      <c r="B184" s="207">
        <f>IF('Machine Fixed Monthly Cost VS I'!L16="","",'Machine Fixed Monthly Cost VS I'!L16)</f>
        <v>60504.374999999993</v>
      </c>
      <c r="C184" s="207">
        <f>IF('Machine Fixed Monthly Cost VS I'!M16="","",'Machine Fixed Monthly Cost VS I'!M16)</f>
        <v>57630.369999999995</v>
      </c>
      <c r="D184" s="207">
        <f>IF('Machine Fixed Monthly Cost VS I'!N16="","",'Machine Fixed Monthly Cost VS I'!N16)</f>
        <v>2874.0049999999974</v>
      </c>
      <c r="E184" s="209">
        <f>IF('Monthly Running Cost'!F16="","",'Monthly Running Cost'!F16)</f>
        <v>322</v>
      </c>
    </row>
    <row r="185" spans="1:5" x14ac:dyDescent="0.3">
      <c r="A185" s="208" t="s">
        <v>204</v>
      </c>
      <c r="B185" s="207">
        <f>IF('Machine Fixed Monthly Cost VS I'!P16="","",'Machine Fixed Monthly Cost VS I'!P16)</f>
        <v>77961.375</v>
      </c>
      <c r="C185" s="207">
        <f>IF('Machine Fixed Monthly Cost VS I'!Q16="","",'Machine Fixed Monthly Cost VS I'!Q16)</f>
        <v>58171.72</v>
      </c>
      <c r="D185" s="207">
        <f>IF('Machine Fixed Monthly Cost VS I'!R16="","",'Machine Fixed Monthly Cost VS I'!R16)</f>
        <v>19789.654999999999</v>
      </c>
      <c r="E185" s="209">
        <f>IF('Monthly Running Cost'!H16="","",'Monthly Running Cost'!H16)</f>
        <v>1913</v>
      </c>
    </row>
    <row r="186" spans="1:5" x14ac:dyDescent="0.3">
      <c r="A186" s="208" t="s">
        <v>205</v>
      </c>
      <c r="B186" s="207">
        <f>IF('Machine Fixed Monthly Cost VS I'!T16="","",'Machine Fixed Monthly Cost VS I'!T16)</f>
        <v>59512.5</v>
      </c>
      <c r="C186" s="207">
        <f>IF('Machine Fixed Monthly Cost VS I'!U16="","",'Machine Fixed Monthly Cost VS I'!U16)</f>
        <v>56079.97</v>
      </c>
      <c r="D186" s="207">
        <f>IF('Machine Fixed Monthly Cost VS I'!V16="","",'Machine Fixed Monthly Cost VS I'!V16)</f>
        <v>3432.5299999999988</v>
      </c>
      <c r="E186" s="209">
        <f>IF('Monthly Running Cost'!J16="","",'Monthly Running Cost'!J16)</f>
        <v>2277</v>
      </c>
    </row>
    <row r="187" spans="1:5" x14ac:dyDescent="0.3">
      <c r="A187" s="208" t="s">
        <v>206</v>
      </c>
      <c r="B187" s="207">
        <f>IF('Machine Fixed Monthly Cost VS I'!X16="","",'Machine Fixed Monthly Cost VS I'!X16)</f>
        <v>59710.879999999997</v>
      </c>
      <c r="C187" s="207">
        <f>IF('Machine Fixed Monthly Cost VS I'!Y16="","",'Machine Fixed Monthly Cost VS I'!Y16)</f>
        <v>57307.369999999995</v>
      </c>
      <c r="D187" s="207">
        <f>IF('Machine Fixed Monthly Cost VS I'!Z16="","",'Machine Fixed Monthly Cost VS I'!Z16)</f>
        <v>2403.510000000002</v>
      </c>
      <c r="E187" s="209">
        <f>IF('Monthly Running Cost'!L16="","",'Monthly Running Cost'!L16)</f>
        <v>3940.7350000000001</v>
      </c>
    </row>
    <row r="188" spans="1:5" x14ac:dyDescent="0.3">
      <c r="A188" s="208" t="s">
        <v>207</v>
      </c>
      <c r="B188" s="207">
        <f>IF('Machine Fixed Monthly Cost VS I'!AB16="","",'Machine Fixed Monthly Cost VS I'!AB16)</f>
        <v>75580.88</v>
      </c>
      <c r="C188" s="207">
        <f>IF('Machine Fixed Monthly Cost VS I'!AC16="","",'Machine Fixed Monthly Cost VS I'!AC16)</f>
        <v>56467.57</v>
      </c>
      <c r="D188" s="207">
        <f>IF('Machine Fixed Monthly Cost VS I'!AD16="","",'Machine Fixed Monthly Cost VS I'!AD16)</f>
        <v>19113.310000000005</v>
      </c>
      <c r="E188" s="209">
        <f>IF('Monthly Running Cost'!N16="","",'Monthly Running Cost'!N16)</f>
        <v>29262.329999999998</v>
      </c>
    </row>
    <row r="189" spans="1:5" x14ac:dyDescent="0.3">
      <c r="A189" s="208" t="s">
        <v>208</v>
      </c>
      <c r="B189" s="207">
        <f>IF('Machine Fixed Monthly Cost VS I'!AF16="","",'Machine Fixed Monthly Cost VS I'!AF16)</f>
        <v>81333.759999999995</v>
      </c>
      <c r="C189" s="207">
        <f>IF('Machine Fixed Monthly Cost VS I'!AG16="","",'Machine Fixed Monthly Cost VS I'!AG16)</f>
        <v>56241.47</v>
      </c>
      <c r="D189" s="207">
        <f>IF('Machine Fixed Monthly Cost VS I'!AH16="","",'Machine Fixed Monthly Cost VS I'!AH16)</f>
        <v>25092.289999999994</v>
      </c>
      <c r="E189" s="209">
        <f>IF('Monthly Running Cost'!P16="","",'Monthly Running Cost'!P16)</f>
        <v>4497.1900000000005</v>
      </c>
    </row>
    <row r="190" spans="1:5" x14ac:dyDescent="0.3">
      <c r="A190" s="208" t="s">
        <v>209</v>
      </c>
      <c r="B190" s="207">
        <f>IF('Machine Fixed Monthly Cost VS I'!AJ16="","",'Machine Fixed Monthly Cost VS I'!AJ16)</f>
        <v>60702.75</v>
      </c>
      <c r="C190" s="207">
        <f>IF('Machine Fixed Monthly Cost VS I'!AK16="","",'Machine Fixed Monthly Cost VS I'!AK16)</f>
        <v>60312.88</v>
      </c>
      <c r="D190" s="207">
        <f>IF('Machine Fixed Monthly Cost VS I'!AL16="","",'Machine Fixed Monthly Cost VS I'!AL16)</f>
        <v>389.87000000000262</v>
      </c>
      <c r="E190" s="209">
        <f>IF('Monthly Running Cost'!R16="","",'Monthly Running Cost'!R16)</f>
        <v>9667.9050000000007</v>
      </c>
    </row>
    <row r="191" spans="1:5" x14ac:dyDescent="0.3">
      <c r="A191" s="208" t="s">
        <v>210</v>
      </c>
      <c r="B191" s="207" t="str">
        <f>IF('Machine Fixed Monthly Cost VS I'!AN16="","",'Machine Fixed Monthly Cost VS I'!AN16)</f>
        <v/>
      </c>
      <c r="C191" s="207">
        <f>IF('Machine Fixed Monthly Cost VS I'!AO16="","",'Machine Fixed Monthly Cost VS I'!AO16)</f>
        <v>44904.17</v>
      </c>
      <c r="D191" s="207" t="str">
        <f>IF('Machine Fixed Monthly Cost VS I'!AP16="","",'Machine Fixed Monthly Cost VS I'!AP16)</f>
        <v/>
      </c>
      <c r="E191" s="209" t="str">
        <f>IF('Monthly Running Cost'!T16="","",'Monthly Running Cost'!T16)</f>
        <v/>
      </c>
    </row>
    <row r="192" spans="1:5" x14ac:dyDescent="0.3">
      <c r="A192" s="208" t="s">
        <v>211</v>
      </c>
      <c r="B192" s="207" t="str">
        <f>IF('Machine Fixed Monthly Cost VS I'!AR16="","",'Machine Fixed Monthly Cost VS I'!AR16)</f>
        <v/>
      </c>
      <c r="C192" s="207">
        <f>IF('Machine Fixed Monthly Cost VS I'!AS16="","",'Machine Fixed Monthly Cost VS I'!AS16)</f>
        <v>44904.17</v>
      </c>
      <c r="D192" s="207" t="str">
        <f>IF('Machine Fixed Monthly Cost VS I'!AT16="","",'Machine Fixed Monthly Cost VS I'!AT16)</f>
        <v/>
      </c>
      <c r="E192" s="209" t="str">
        <f>IF('Monthly Running Cost'!V16="","",'Monthly Running Cost'!V16)</f>
        <v/>
      </c>
    </row>
    <row r="193" spans="1:5" x14ac:dyDescent="0.3">
      <c r="A193" s="208" t="s">
        <v>212</v>
      </c>
      <c r="B193" s="207" t="str">
        <f>IF('Machine Fixed Monthly Cost VS I'!AV16="","",'Machine Fixed Monthly Cost VS I'!AV16)</f>
        <v/>
      </c>
      <c r="C193" s="207">
        <f>IF('Machine Fixed Monthly Cost VS I'!AW16="","",'Machine Fixed Monthly Cost VS I'!AW16)</f>
        <v>44904.17</v>
      </c>
      <c r="D193" s="207" t="str">
        <f>IF('Machine Fixed Monthly Cost VS I'!AX16="","",'Machine Fixed Monthly Cost VS I'!AX16)</f>
        <v/>
      </c>
      <c r="E193" s="209" t="str">
        <f>IF('Monthly Running Cost'!X16="","",'Monthly Running Cost'!X16)</f>
        <v/>
      </c>
    </row>
    <row r="194" spans="1:5" x14ac:dyDescent="0.3">
      <c r="A194" s="208" t="s">
        <v>213</v>
      </c>
      <c r="B194" s="207" t="str">
        <f>IF('Machine Fixed Monthly Cost VS I'!AZ16="","",'Machine Fixed Monthly Cost VS I'!AZ16)</f>
        <v/>
      </c>
      <c r="C194" s="207">
        <f>IF('Machine Fixed Monthly Cost VS I'!BA16="","",'Machine Fixed Monthly Cost VS I'!BA16)</f>
        <v>44904.17</v>
      </c>
      <c r="D194" s="207" t="str">
        <f>IF('Machine Fixed Monthly Cost VS I'!BB16="","",'Machine Fixed Monthly Cost VS I'!BB16)</f>
        <v/>
      </c>
      <c r="E194" s="209" t="str">
        <f>IF('Monthly Running Cost'!Z16="","",'Monthly Running Cost'!Z16)</f>
        <v/>
      </c>
    </row>
    <row r="195" spans="1:5" x14ac:dyDescent="0.3">
      <c r="E195" s="209"/>
    </row>
    <row r="196" spans="1:5" x14ac:dyDescent="0.3">
      <c r="A196" s="246" t="s">
        <v>226</v>
      </c>
      <c r="B196" s="246"/>
      <c r="C196" s="246"/>
      <c r="D196" s="246"/>
      <c r="E196" s="209"/>
    </row>
    <row r="197" spans="1:5" x14ac:dyDescent="0.3">
      <c r="A197" s="204" t="s">
        <v>199</v>
      </c>
      <c r="B197" s="205" t="s">
        <v>200</v>
      </c>
      <c r="C197" s="205" t="s">
        <v>201</v>
      </c>
      <c r="D197" s="206" t="s">
        <v>129</v>
      </c>
      <c r="E197" s="210" t="s">
        <v>248</v>
      </c>
    </row>
    <row r="198" spans="1:5" x14ac:dyDescent="0.3">
      <c r="A198" s="208" t="s">
        <v>202</v>
      </c>
      <c r="B198" s="207">
        <f>IF('Machine Fixed Monthly Cost VS I'!H17="","",'Machine Fixed Monthly Cost VS I'!H17)</f>
        <v>47609.999999999993</v>
      </c>
      <c r="C198" s="207">
        <f>IF('Machine Fixed Monthly Cost VS I'!I17="","",'Machine Fixed Monthly Cost VS I'!I17)</f>
        <v>30163.27</v>
      </c>
      <c r="D198" s="207">
        <f>IF('Machine Fixed Monthly Cost VS I'!J17="","",'Machine Fixed Monthly Cost VS I'!J17)</f>
        <v>17446.729999999992</v>
      </c>
      <c r="E198" s="209" t="str">
        <f>IF('Monthly Running Cost'!D17="","",'Monthly Running Cost'!D17)</f>
        <v/>
      </c>
    </row>
    <row r="199" spans="1:5" x14ac:dyDescent="0.3">
      <c r="A199" s="208" t="s">
        <v>203</v>
      </c>
      <c r="B199" s="207">
        <f>IF('Machine Fixed Monthly Cost VS I'!L17="","",'Machine Fixed Monthly Cost VS I'!L17)</f>
        <v>65265.374999999993</v>
      </c>
      <c r="C199" s="207">
        <f>IF('Machine Fixed Monthly Cost VS I'!M17="","",'Machine Fixed Monthly Cost VS I'!M17)</f>
        <v>36644.1</v>
      </c>
      <c r="D199" s="207">
        <f>IF('Machine Fixed Monthly Cost VS I'!N17="","",'Machine Fixed Monthly Cost VS I'!N17)</f>
        <v>28621.274999999994</v>
      </c>
      <c r="E199" s="209">
        <f>IF('Monthly Running Cost'!F17="","",'Monthly Running Cost'!F17)</f>
        <v>4342.3999999999996</v>
      </c>
    </row>
    <row r="200" spans="1:5" x14ac:dyDescent="0.3">
      <c r="A200" s="208" t="s">
        <v>204</v>
      </c>
      <c r="B200" s="207">
        <f>IF('Machine Fixed Monthly Cost VS I'!P17="","",'Machine Fixed Monthly Cost VS I'!P17)</f>
        <v>76374.375</v>
      </c>
      <c r="C200" s="207">
        <f>IF('Machine Fixed Monthly Cost VS I'!Q17="","",'Machine Fixed Monthly Cost VS I'!Q17)</f>
        <v>32097.440000000002</v>
      </c>
      <c r="D200" s="207">
        <f>IF('Machine Fixed Monthly Cost VS I'!R17="","",'Machine Fixed Monthly Cost VS I'!R17)</f>
        <v>44276.934999999998</v>
      </c>
      <c r="E200" s="209">
        <f>IF('Monthly Running Cost'!H17="","",'Monthly Running Cost'!H17)</f>
        <v>4959.95</v>
      </c>
    </row>
    <row r="201" spans="1:5" x14ac:dyDescent="0.3">
      <c r="A201" s="208" t="s">
        <v>205</v>
      </c>
      <c r="B201" s="207">
        <f>IF('Machine Fixed Monthly Cost VS I'!T17="","",'Machine Fixed Monthly Cost VS I'!T17)</f>
        <v>58719.009999999995</v>
      </c>
      <c r="C201" s="207">
        <f>IF('Machine Fixed Monthly Cost VS I'!U17="","",'Machine Fixed Monthly Cost VS I'!U17)</f>
        <v>34579.410000000003</v>
      </c>
      <c r="D201" s="207">
        <f>IF('Machine Fixed Monthly Cost VS I'!V17="","",'Machine Fixed Monthly Cost VS I'!V17)</f>
        <v>24139.599999999991</v>
      </c>
      <c r="E201" s="209">
        <f>IF('Monthly Running Cost'!J17="","",'Monthly Running Cost'!J17)</f>
        <v>2277</v>
      </c>
    </row>
    <row r="202" spans="1:5" x14ac:dyDescent="0.3">
      <c r="A202" s="208" t="s">
        <v>206</v>
      </c>
      <c r="B202" s="207">
        <f>IF('Machine Fixed Monthly Cost VS I'!X17="","",'Machine Fixed Monthly Cost VS I'!X17)</f>
        <v>59710.879999999997</v>
      </c>
      <c r="C202" s="207">
        <f>IF('Machine Fixed Monthly Cost VS I'!Y17="","",'Machine Fixed Monthly Cost VS I'!Y17)</f>
        <v>36376.46</v>
      </c>
      <c r="D202" s="207">
        <f>IF('Machine Fixed Monthly Cost VS I'!Z17="","",'Machine Fixed Monthly Cost VS I'!Z17)</f>
        <v>23334.42</v>
      </c>
      <c r="E202" s="209">
        <f>IF('Monthly Running Cost'!L17="","",'Monthly Running Cost'!L17)</f>
        <v>6375.2849999999999</v>
      </c>
    </row>
    <row r="203" spans="1:5" x14ac:dyDescent="0.3">
      <c r="A203" s="208" t="s">
        <v>207</v>
      </c>
      <c r="B203" s="207">
        <f>IF('Machine Fixed Monthly Cost VS I'!AB17="","",'Machine Fixed Monthly Cost VS I'!AB17)</f>
        <v>74192.25</v>
      </c>
      <c r="C203" s="207">
        <f>IF('Machine Fixed Monthly Cost VS I'!AC17="","",'Machine Fixed Monthly Cost VS I'!AC17)</f>
        <v>38804.380000000005</v>
      </c>
      <c r="D203" s="207">
        <f>IF('Machine Fixed Monthly Cost VS I'!AD17="","",'Machine Fixed Monthly Cost VS I'!AD17)</f>
        <v>35387.869999999995</v>
      </c>
      <c r="E203" s="209">
        <f>IF('Monthly Running Cost'!N17="","",'Monthly Running Cost'!N17)</f>
        <v>22787.25</v>
      </c>
    </row>
    <row r="204" spans="1:5" x14ac:dyDescent="0.3">
      <c r="A204" s="208" t="s">
        <v>208</v>
      </c>
      <c r="B204" s="207">
        <f>IF('Machine Fixed Monthly Cost VS I'!AF17="","",'Machine Fixed Monthly Cost VS I'!AF17)</f>
        <v>94029.75</v>
      </c>
      <c r="C204" s="207">
        <f>IF('Machine Fixed Monthly Cost VS I'!AG17="","",'Machine Fixed Monthly Cost VS I'!AG17)</f>
        <v>35649.990000000005</v>
      </c>
      <c r="D204" s="207">
        <f>IF('Machine Fixed Monthly Cost VS I'!AH17="","",'Machine Fixed Monthly Cost VS I'!AH17)</f>
        <v>58379.759999999995</v>
      </c>
      <c r="E204" s="209">
        <f>IF('Monthly Running Cost'!P17="","",'Monthly Running Cost'!P17)</f>
        <v>4991.6900000000005</v>
      </c>
    </row>
    <row r="205" spans="1:5" x14ac:dyDescent="0.3">
      <c r="A205" s="208" t="s">
        <v>209</v>
      </c>
      <c r="B205" s="207">
        <f>IF('Machine Fixed Monthly Cost VS I'!AJ17="","",'Machine Fixed Monthly Cost VS I'!AJ17)</f>
        <v>49792.130000000005</v>
      </c>
      <c r="C205" s="207">
        <f>IF('Machine Fixed Monthly Cost VS I'!AK17="","",'Machine Fixed Monthly Cost VS I'!AK17)</f>
        <v>33744.740000000005</v>
      </c>
      <c r="D205" s="207">
        <f>IF('Machine Fixed Monthly Cost VS I'!AL17="","",'Machine Fixed Monthly Cost VS I'!AL17)</f>
        <v>16047.39</v>
      </c>
      <c r="E205" s="209">
        <f>IF('Monthly Running Cost'!R17="","",'Monthly Running Cost'!R17)</f>
        <v>8074.5750000000007</v>
      </c>
    </row>
    <row r="206" spans="1:5" x14ac:dyDescent="0.3">
      <c r="A206" s="208" t="s">
        <v>210</v>
      </c>
      <c r="B206" s="207" t="str">
        <f>IF('Machine Fixed Monthly Cost VS I'!AN17="","",'Machine Fixed Monthly Cost VS I'!AN17)</f>
        <v/>
      </c>
      <c r="C206" s="207">
        <f>IF('Machine Fixed Monthly Cost VS I'!AO17="","",'Machine Fixed Monthly Cost VS I'!AO17)</f>
        <v>21503.040000000001</v>
      </c>
      <c r="D206" s="207" t="str">
        <f>IF('Machine Fixed Monthly Cost VS I'!AP17="","",'Machine Fixed Monthly Cost VS I'!AP17)</f>
        <v/>
      </c>
      <c r="E206" s="209" t="str">
        <f>IF('Monthly Running Cost'!T17="","",'Monthly Running Cost'!T17)</f>
        <v/>
      </c>
    </row>
    <row r="207" spans="1:5" x14ac:dyDescent="0.3">
      <c r="A207" s="208" t="s">
        <v>211</v>
      </c>
      <c r="B207" s="207" t="str">
        <f>IF('Machine Fixed Monthly Cost VS I'!AR17="","",'Machine Fixed Monthly Cost VS I'!AR17)</f>
        <v/>
      </c>
      <c r="C207" s="207">
        <f>IF('Machine Fixed Monthly Cost VS I'!AS17="","",'Machine Fixed Monthly Cost VS I'!AS17)</f>
        <v>21503.040000000001</v>
      </c>
      <c r="D207" s="207" t="str">
        <f>IF('Machine Fixed Monthly Cost VS I'!AT17="","",'Machine Fixed Monthly Cost VS I'!AT17)</f>
        <v/>
      </c>
      <c r="E207" s="209" t="str">
        <f>IF('Monthly Running Cost'!V17="","",'Monthly Running Cost'!V17)</f>
        <v/>
      </c>
    </row>
    <row r="208" spans="1:5" x14ac:dyDescent="0.3">
      <c r="A208" s="208" t="s">
        <v>212</v>
      </c>
      <c r="B208" s="207" t="str">
        <f>IF('Machine Fixed Monthly Cost VS I'!AV17="","",'Machine Fixed Monthly Cost VS I'!AV17)</f>
        <v/>
      </c>
      <c r="C208" s="207">
        <f>IF('Machine Fixed Monthly Cost VS I'!AW17="","",'Machine Fixed Monthly Cost VS I'!AW17)</f>
        <v>21503.040000000001</v>
      </c>
      <c r="D208" s="207" t="str">
        <f>IF('Machine Fixed Monthly Cost VS I'!AX17="","",'Machine Fixed Monthly Cost VS I'!AX17)</f>
        <v/>
      </c>
      <c r="E208" s="209" t="str">
        <f>IF('Monthly Running Cost'!X17="","",'Monthly Running Cost'!X17)</f>
        <v/>
      </c>
    </row>
    <row r="209" spans="1:5" x14ac:dyDescent="0.3">
      <c r="A209" s="208" t="s">
        <v>213</v>
      </c>
      <c r="B209" s="207" t="str">
        <f>IF('Machine Fixed Monthly Cost VS I'!AZ17="","",'Machine Fixed Monthly Cost VS I'!AZ17)</f>
        <v/>
      </c>
      <c r="C209" s="207">
        <f>IF('Machine Fixed Monthly Cost VS I'!BA17="","",'Machine Fixed Monthly Cost VS I'!BA17)</f>
        <v>21503.040000000001</v>
      </c>
      <c r="D209" s="207" t="str">
        <f>IF('Machine Fixed Monthly Cost VS I'!BB17="","",'Machine Fixed Monthly Cost VS I'!BB17)</f>
        <v/>
      </c>
      <c r="E209" s="209" t="str">
        <f>IF('Monthly Running Cost'!Z17="","",'Monthly Running Cost'!Z17)</f>
        <v/>
      </c>
    </row>
    <row r="210" spans="1:5" x14ac:dyDescent="0.3">
      <c r="E210" s="209"/>
    </row>
    <row r="211" spans="1:5" x14ac:dyDescent="0.3">
      <c r="A211" s="246" t="s">
        <v>227</v>
      </c>
      <c r="B211" s="246"/>
      <c r="C211" s="246"/>
      <c r="D211" s="246"/>
      <c r="E211" s="209"/>
    </row>
    <row r="212" spans="1:5" x14ac:dyDescent="0.3">
      <c r="A212" s="204" t="s">
        <v>199</v>
      </c>
      <c r="B212" s="205" t="s">
        <v>200</v>
      </c>
      <c r="C212" s="205" t="s">
        <v>201</v>
      </c>
      <c r="D212" s="206" t="s">
        <v>129</v>
      </c>
      <c r="E212" s="210" t="s">
        <v>248</v>
      </c>
    </row>
    <row r="213" spans="1:5" x14ac:dyDescent="0.3">
      <c r="A213" s="208" t="s">
        <v>202</v>
      </c>
      <c r="B213" s="207">
        <f>IF('Machine Fixed Monthly Cost VS I'!H18="","",'Machine Fixed Monthly Cost VS I'!H18)</f>
        <v>69287.5</v>
      </c>
      <c r="C213" s="207">
        <f>IF('Machine Fixed Monthly Cost VS I'!I18="","",'Machine Fixed Monthly Cost VS I'!I18)</f>
        <v>45267.039999999994</v>
      </c>
      <c r="D213" s="207">
        <f>IF('Machine Fixed Monthly Cost VS I'!J18="","",'Machine Fixed Monthly Cost VS I'!J18)</f>
        <v>24020.460000000006</v>
      </c>
      <c r="E213" s="209" t="str">
        <f>IF('Monthly Running Cost'!D18="","",'Monthly Running Cost'!D18)</f>
        <v/>
      </c>
    </row>
    <row r="214" spans="1:5" x14ac:dyDescent="0.3">
      <c r="A214" s="208" t="s">
        <v>203</v>
      </c>
      <c r="B214" s="207">
        <f>IF('Machine Fixed Monthly Cost VS I'!L18="","",'Machine Fixed Monthly Cost VS I'!L18)</f>
        <v>89527.5</v>
      </c>
      <c r="C214" s="207">
        <f>IF('Machine Fixed Monthly Cost VS I'!M18="","",'Machine Fixed Monthly Cost VS I'!M18)</f>
        <v>38464.089999999997</v>
      </c>
      <c r="D214" s="207">
        <f>IF('Machine Fixed Monthly Cost VS I'!N18="","",'Machine Fixed Monthly Cost VS I'!N18)</f>
        <v>51063.41</v>
      </c>
      <c r="E214" s="209" t="str">
        <f>IF('Monthly Running Cost'!F18="","",'Monthly Running Cost'!F18)</f>
        <v/>
      </c>
    </row>
    <row r="215" spans="1:5" x14ac:dyDescent="0.3">
      <c r="A215" s="208" t="s">
        <v>204</v>
      </c>
      <c r="B215" s="207">
        <f>IF('Machine Fixed Monthly Cost VS I'!P18="","",'Machine Fixed Monthly Cost VS I'!P18)</f>
        <v>81995</v>
      </c>
      <c r="C215" s="207">
        <f>IF('Machine Fixed Monthly Cost VS I'!Q18="","",'Machine Fixed Monthly Cost VS I'!Q18)</f>
        <v>38464.089999999997</v>
      </c>
      <c r="D215" s="207">
        <f>IF('Machine Fixed Monthly Cost VS I'!R18="","",'Machine Fixed Monthly Cost VS I'!R18)</f>
        <v>43530.91</v>
      </c>
      <c r="E215" s="209">
        <f>IF('Monthly Running Cost'!H18="","",'Monthly Running Cost'!H18)</f>
        <v>19503.96</v>
      </c>
    </row>
    <row r="216" spans="1:5" x14ac:dyDescent="0.3">
      <c r="A216" s="208" t="s">
        <v>205</v>
      </c>
      <c r="B216" s="207">
        <f>IF('Machine Fixed Monthly Cost VS I'!T18="","",'Machine Fixed Monthly Cost VS I'!T18)</f>
        <v>69736</v>
      </c>
      <c r="C216" s="207">
        <f>IF('Machine Fixed Monthly Cost VS I'!U18="","",'Machine Fixed Monthly Cost VS I'!U18)</f>
        <v>50398.09</v>
      </c>
      <c r="D216" s="207">
        <f>IF('Machine Fixed Monthly Cost VS I'!V18="","",'Machine Fixed Monthly Cost VS I'!V18)</f>
        <v>19337.910000000003</v>
      </c>
      <c r="E216" s="209">
        <f>IF('Monthly Running Cost'!J18="","",'Monthly Running Cost'!J18)</f>
        <v>857</v>
      </c>
    </row>
    <row r="217" spans="1:5" x14ac:dyDescent="0.3">
      <c r="A217" s="208" t="s">
        <v>206</v>
      </c>
      <c r="B217" s="207">
        <f>IF('Machine Fixed Monthly Cost VS I'!X18="","",'Machine Fixed Monthly Cost VS I'!X18)</f>
        <v>64538</v>
      </c>
      <c r="C217" s="207">
        <f>IF('Machine Fixed Monthly Cost VS I'!Y18="","",'Machine Fixed Monthly Cost VS I'!Y18)</f>
        <v>51894.09</v>
      </c>
      <c r="D217" s="207">
        <f>IF('Machine Fixed Monthly Cost VS I'!Z18="","",'Machine Fixed Monthly Cost VS I'!Z18)</f>
        <v>12643.910000000003</v>
      </c>
      <c r="E217" s="209">
        <f>IF('Monthly Running Cost'!L18="","",'Monthly Running Cost'!L18)</f>
        <v>23019.55</v>
      </c>
    </row>
    <row r="218" spans="1:5" x14ac:dyDescent="0.3">
      <c r="A218" s="208" t="s">
        <v>207</v>
      </c>
      <c r="B218" s="207">
        <f>IF('Machine Fixed Monthly Cost VS I'!AB18="","",'Machine Fixed Monthly Cost VS I'!AB18)</f>
        <v>60260</v>
      </c>
      <c r="C218" s="207">
        <f>IF('Machine Fixed Monthly Cost VS I'!AC18="","",'Machine Fixed Monthly Cost VS I'!AC18)</f>
        <v>52217.09</v>
      </c>
      <c r="D218" s="207">
        <f>IF('Machine Fixed Monthly Cost VS I'!AD18="","",'Machine Fixed Monthly Cost VS I'!AD18)</f>
        <v>8042.9100000000035</v>
      </c>
      <c r="E218" s="209">
        <f>IF('Monthly Running Cost'!N18="","",'Monthly Running Cost'!N18)</f>
        <v>19078.5</v>
      </c>
    </row>
    <row r="219" spans="1:5" x14ac:dyDescent="0.3">
      <c r="A219" s="208" t="s">
        <v>208</v>
      </c>
      <c r="B219" s="207">
        <f>IF('Machine Fixed Monthly Cost VS I'!AF18="","",'Machine Fixed Monthly Cost VS I'!AF18)</f>
        <v>76187.5</v>
      </c>
      <c r="C219" s="207">
        <f>IF('Machine Fixed Monthly Cost VS I'!AG18="","",'Machine Fixed Monthly Cost VS I'!AG18)</f>
        <v>52676.09</v>
      </c>
      <c r="D219" s="207">
        <f>IF('Machine Fixed Monthly Cost VS I'!AH18="","",'Machine Fixed Monthly Cost VS I'!AH18)</f>
        <v>23511.410000000003</v>
      </c>
      <c r="E219" s="209" t="str">
        <f>IF('Monthly Running Cost'!P18="","",'Monthly Running Cost'!P18)</f>
        <v/>
      </c>
    </row>
    <row r="220" spans="1:5" x14ac:dyDescent="0.3">
      <c r="A220" s="208" t="s">
        <v>209</v>
      </c>
      <c r="B220" s="207">
        <f>IF('Machine Fixed Monthly Cost VS I'!AJ18="","",'Machine Fixed Monthly Cost VS I'!AJ18)</f>
        <v>72392.5</v>
      </c>
      <c r="C220" s="207">
        <f>IF('Machine Fixed Monthly Cost VS I'!AK18="","",'Machine Fixed Monthly Cost VS I'!AK18)</f>
        <v>53084.09</v>
      </c>
      <c r="D220" s="207">
        <f>IF('Machine Fixed Monthly Cost VS I'!AL18="","",'Machine Fixed Monthly Cost VS I'!AL18)</f>
        <v>19308.410000000003</v>
      </c>
      <c r="E220" s="209" t="str">
        <f>IF('Monthly Running Cost'!R18="","",'Monthly Running Cost'!R18)</f>
        <v/>
      </c>
    </row>
    <row r="221" spans="1:5" x14ac:dyDescent="0.3">
      <c r="A221" s="208" t="s">
        <v>210</v>
      </c>
      <c r="B221" s="207" t="str">
        <f>IF('Machine Fixed Monthly Cost VS I'!AN18="","",'Machine Fixed Monthly Cost VS I'!AN18)</f>
        <v/>
      </c>
      <c r="C221" s="207">
        <f>IF('Machine Fixed Monthly Cost VS I'!AO18="","",'Machine Fixed Monthly Cost VS I'!AO18)</f>
        <v>38464.089999999997</v>
      </c>
      <c r="D221" s="207" t="str">
        <f>IF('Machine Fixed Monthly Cost VS I'!AP18="","",'Machine Fixed Monthly Cost VS I'!AP18)</f>
        <v/>
      </c>
      <c r="E221" s="209" t="str">
        <f>IF('Monthly Running Cost'!T18="","",'Monthly Running Cost'!T18)</f>
        <v/>
      </c>
    </row>
    <row r="222" spans="1:5" x14ac:dyDescent="0.3">
      <c r="A222" s="208" t="s">
        <v>211</v>
      </c>
      <c r="B222" s="207" t="str">
        <f>IF('Machine Fixed Monthly Cost VS I'!AR18="","",'Machine Fixed Monthly Cost VS I'!AR18)</f>
        <v/>
      </c>
      <c r="C222" s="207">
        <f>IF('Machine Fixed Monthly Cost VS I'!AS18="","",'Machine Fixed Monthly Cost VS I'!AS18)</f>
        <v>38464.089999999997</v>
      </c>
      <c r="D222" s="207" t="str">
        <f>IF('Machine Fixed Monthly Cost VS I'!AT18="","",'Machine Fixed Monthly Cost VS I'!AT18)</f>
        <v/>
      </c>
      <c r="E222" s="209" t="str">
        <f>IF('Monthly Running Cost'!V18="","",'Monthly Running Cost'!V18)</f>
        <v/>
      </c>
    </row>
    <row r="223" spans="1:5" x14ac:dyDescent="0.3">
      <c r="A223" s="208" t="s">
        <v>212</v>
      </c>
      <c r="B223" s="207" t="str">
        <f>IF('Machine Fixed Monthly Cost VS I'!AV18="","",'Machine Fixed Monthly Cost VS I'!AV18)</f>
        <v/>
      </c>
      <c r="C223" s="207">
        <f>IF('Machine Fixed Monthly Cost VS I'!AW18="","",'Machine Fixed Monthly Cost VS I'!AW18)</f>
        <v>38464.089999999997</v>
      </c>
      <c r="D223" s="207" t="str">
        <f>IF('Machine Fixed Monthly Cost VS I'!AX18="","",'Machine Fixed Monthly Cost VS I'!AX18)</f>
        <v/>
      </c>
      <c r="E223" s="209" t="str">
        <f>IF('Monthly Running Cost'!X18="","",'Monthly Running Cost'!X18)</f>
        <v/>
      </c>
    </row>
    <row r="224" spans="1:5" x14ac:dyDescent="0.3">
      <c r="A224" s="208" t="s">
        <v>213</v>
      </c>
      <c r="B224" s="207" t="str">
        <f>IF('Machine Fixed Monthly Cost VS I'!AZ18="","",'Machine Fixed Monthly Cost VS I'!AZ18)</f>
        <v/>
      </c>
      <c r="C224" s="207">
        <f>IF('Machine Fixed Monthly Cost VS I'!BA18="","",'Machine Fixed Monthly Cost VS I'!BA18)</f>
        <v>38464.089999999997</v>
      </c>
      <c r="D224" s="207" t="str">
        <f>IF('Machine Fixed Monthly Cost VS I'!BB18="","",'Machine Fixed Monthly Cost VS I'!BB18)</f>
        <v/>
      </c>
      <c r="E224" s="209" t="str">
        <f>IF('Monthly Running Cost'!Z18="","",'Monthly Running Cost'!Z18)</f>
        <v/>
      </c>
    </row>
    <row r="225" spans="1:5" x14ac:dyDescent="0.3">
      <c r="E225" s="209"/>
    </row>
    <row r="226" spans="1:5" x14ac:dyDescent="0.3">
      <c r="A226" s="246" t="s">
        <v>228</v>
      </c>
      <c r="B226" s="246"/>
      <c r="C226" s="246"/>
      <c r="D226" s="246"/>
      <c r="E226" s="209"/>
    </row>
    <row r="227" spans="1:5" x14ac:dyDescent="0.3">
      <c r="A227" s="204" t="s">
        <v>199</v>
      </c>
      <c r="B227" s="205" t="s">
        <v>200</v>
      </c>
      <c r="C227" s="205" t="s">
        <v>201</v>
      </c>
      <c r="D227" s="206" t="s">
        <v>129</v>
      </c>
      <c r="E227" s="210" t="s">
        <v>248</v>
      </c>
    </row>
    <row r="228" spans="1:5" x14ac:dyDescent="0.3">
      <c r="A228" s="208" t="s">
        <v>202</v>
      </c>
      <c r="B228" s="207">
        <f>IF('Machine Fixed Monthly Cost VS I'!H19="","",'Machine Fixed Monthly Cost VS I'!H19)</f>
        <v>13006.499999999998</v>
      </c>
      <c r="C228" s="207">
        <f>IF('Machine Fixed Monthly Cost VS I'!I19="","",'Machine Fixed Monthly Cost VS I'!I19)</f>
        <v>30475.05</v>
      </c>
      <c r="D228" s="207">
        <f>IF('Machine Fixed Monthly Cost VS I'!J19="","",'Machine Fixed Monthly Cost VS I'!J19)</f>
        <v>-17468.550000000003</v>
      </c>
      <c r="E228" s="209" t="str">
        <f>IF('Monthly Running Cost'!D19="","",'Monthly Running Cost'!D19)</f>
        <v/>
      </c>
    </row>
    <row r="229" spans="1:5" x14ac:dyDescent="0.3">
      <c r="A229" s="208" t="s">
        <v>203</v>
      </c>
      <c r="B229" s="207">
        <f>IF('Machine Fixed Monthly Cost VS I'!L19="","",'Machine Fixed Monthly Cost VS I'!L19)</f>
        <v>47839.999999999993</v>
      </c>
      <c r="C229" s="207">
        <f>IF('Machine Fixed Monthly Cost VS I'!M19="","",'Machine Fixed Monthly Cost VS I'!M19)</f>
        <v>37581.050000000003</v>
      </c>
      <c r="D229" s="207">
        <f>IF('Machine Fixed Monthly Cost VS I'!N19="","",'Machine Fixed Monthly Cost VS I'!N19)</f>
        <v>10258.94999999999</v>
      </c>
      <c r="E229" s="209" t="str">
        <f>IF('Monthly Running Cost'!F19="","",'Monthly Running Cost'!F19)</f>
        <v/>
      </c>
    </row>
    <row r="230" spans="1:5" x14ac:dyDescent="0.3">
      <c r="A230" s="208" t="s">
        <v>204</v>
      </c>
      <c r="B230" s="207">
        <f>IF('Machine Fixed Monthly Cost VS I'!P19="","",'Machine Fixed Monthly Cost VS I'!P19)</f>
        <v>54866.499999999993</v>
      </c>
      <c r="C230" s="207">
        <f>IF('Machine Fixed Monthly Cost VS I'!Q19="","",'Machine Fixed Monthly Cost VS I'!Q19)</f>
        <v>35933.75</v>
      </c>
      <c r="D230" s="207">
        <f>IF('Machine Fixed Monthly Cost VS I'!R19="","",'Machine Fixed Monthly Cost VS I'!R19)</f>
        <v>18932.749999999993</v>
      </c>
      <c r="E230" s="209">
        <f>IF('Monthly Running Cost'!H19="","",'Monthly Running Cost'!H19)</f>
        <v>2502.1999999999998</v>
      </c>
    </row>
    <row r="231" spans="1:5" x14ac:dyDescent="0.3">
      <c r="A231" s="208" t="s">
        <v>205</v>
      </c>
      <c r="B231" s="207">
        <f>IF('Machine Fixed Monthly Cost VS I'!T19="","",'Machine Fixed Monthly Cost VS I'!T19)</f>
        <v>44401.5</v>
      </c>
      <c r="C231" s="207">
        <f>IF('Machine Fixed Monthly Cost VS I'!U19="","",'Machine Fixed Monthly Cost VS I'!U19)</f>
        <v>35901.449999999997</v>
      </c>
      <c r="D231" s="207">
        <f>IF('Machine Fixed Monthly Cost VS I'!V19="","",'Machine Fixed Monthly Cost VS I'!V19)</f>
        <v>8500.0500000000029</v>
      </c>
      <c r="E231" s="209">
        <f>IF('Monthly Running Cost'!J19="","",'Monthly Running Cost'!J19)</f>
        <v>4300.95</v>
      </c>
    </row>
    <row r="232" spans="1:5" x14ac:dyDescent="0.3">
      <c r="A232" s="208" t="s">
        <v>206</v>
      </c>
      <c r="B232" s="207">
        <f>IF('Machine Fixed Monthly Cost VS I'!X19="","",'Machine Fixed Monthly Cost VS I'!X19)</f>
        <v>44102.5</v>
      </c>
      <c r="C232" s="207">
        <f>IF('Machine Fixed Monthly Cost VS I'!Y19="","",'Machine Fixed Monthly Cost VS I'!Y19)</f>
        <v>35933.75</v>
      </c>
      <c r="D232" s="207">
        <f>IF('Machine Fixed Monthly Cost VS I'!Z19="","",'Machine Fixed Monthly Cost VS I'!Z19)</f>
        <v>8168.75</v>
      </c>
      <c r="E232" s="209">
        <f>IF('Monthly Running Cost'!L19="","",'Monthly Running Cost'!L19)</f>
        <v>349.2</v>
      </c>
    </row>
    <row r="233" spans="1:5" x14ac:dyDescent="0.3">
      <c r="A233" s="208" t="s">
        <v>207</v>
      </c>
      <c r="B233" s="207">
        <f>IF('Machine Fixed Monthly Cost VS I'!AB19="","",'Machine Fixed Monthly Cost VS I'!AB19)</f>
        <v>47840</v>
      </c>
      <c r="C233" s="207">
        <f>IF('Machine Fixed Monthly Cost VS I'!AC19="","",'Machine Fixed Monthly Cost VS I'!AC19)</f>
        <v>36418.25</v>
      </c>
      <c r="D233" s="207">
        <f>IF('Machine Fixed Monthly Cost VS I'!AD19="","",'Machine Fixed Monthly Cost VS I'!AD19)</f>
        <v>11421.75</v>
      </c>
      <c r="E233" s="209" t="str">
        <f>IF('Monthly Running Cost'!N19="","",'Monthly Running Cost'!N19)</f>
        <v/>
      </c>
    </row>
    <row r="234" spans="1:5" x14ac:dyDescent="0.3">
      <c r="A234" s="208" t="s">
        <v>208</v>
      </c>
      <c r="B234" s="207">
        <f>IF('Machine Fixed Monthly Cost VS I'!AF19="","",'Machine Fixed Monthly Cost VS I'!AF19)</f>
        <v>34684</v>
      </c>
      <c r="C234" s="207">
        <f>IF('Machine Fixed Monthly Cost VS I'!AG19="","",'Machine Fixed Monthly Cost VS I'!AG19)</f>
        <v>35190.85</v>
      </c>
      <c r="D234" s="207">
        <f>IF('Machine Fixed Monthly Cost VS I'!AH19="","",'Machine Fixed Monthly Cost VS I'!AH19)</f>
        <v>-506.84999999999854</v>
      </c>
      <c r="E234" s="209">
        <f>IF('Monthly Running Cost'!P19="","",'Monthly Running Cost'!P19)</f>
        <v>38297.25</v>
      </c>
    </row>
    <row r="235" spans="1:5" x14ac:dyDescent="0.3">
      <c r="A235" s="208" t="s">
        <v>209</v>
      </c>
      <c r="B235" s="207" t="str">
        <f>IF('Machine Fixed Monthly Cost VS I'!AJ19="","",'Machine Fixed Monthly Cost VS I'!AJ19)</f>
        <v/>
      </c>
      <c r="C235" s="207">
        <f>IF('Machine Fixed Monthly Cost VS I'!AK19="","",'Machine Fixed Monthly Cost VS I'!AK19)</f>
        <v>36192.149999999994</v>
      </c>
      <c r="D235" s="207">
        <f>IF('Machine Fixed Monthly Cost VS I'!AL19="","",'Machine Fixed Monthly Cost VS I'!AL19)</f>
        <v>-36192.149999999994</v>
      </c>
      <c r="E235" s="209">
        <f>IF('Monthly Running Cost'!R19="","",'Monthly Running Cost'!R19)</f>
        <v>16000</v>
      </c>
    </row>
    <row r="236" spans="1:5" x14ac:dyDescent="0.3">
      <c r="A236" s="208" t="s">
        <v>210</v>
      </c>
      <c r="B236" s="207" t="str">
        <f>IF('Machine Fixed Monthly Cost VS I'!AN19="","",'Machine Fixed Monthly Cost VS I'!AN19)</f>
        <v/>
      </c>
      <c r="C236" s="207">
        <f>IF('Machine Fixed Monthly Cost VS I'!AO19="","",'Machine Fixed Monthly Cost VS I'!AO19)</f>
        <v>24854.85</v>
      </c>
      <c r="D236" s="207" t="str">
        <f>IF('Machine Fixed Monthly Cost VS I'!AP19="","",'Machine Fixed Monthly Cost VS I'!AP19)</f>
        <v/>
      </c>
      <c r="E236" s="209" t="str">
        <f>IF('Monthly Running Cost'!T19="","",'Monthly Running Cost'!T19)</f>
        <v/>
      </c>
    </row>
    <row r="237" spans="1:5" x14ac:dyDescent="0.3">
      <c r="A237" s="208" t="s">
        <v>211</v>
      </c>
      <c r="B237" s="207" t="str">
        <f>IF('Machine Fixed Monthly Cost VS I'!AR19="","",'Machine Fixed Monthly Cost VS I'!AR19)</f>
        <v/>
      </c>
      <c r="C237" s="207">
        <f>IF('Machine Fixed Monthly Cost VS I'!AS19="","",'Machine Fixed Monthly Cost VS I'!AS19)</f>
        <v>24854.85</v>
      </c>
      <c r="D237" s="207" t="str">
        <f>IF('Machine Fixed Monthly Cost VS I'!AT19="","",'Machine Fixed Monthly Cost VS I'!AT19)</f>
        <v/>
      </c>
      <c r="E237" s="209" t="str">
        <f>IF('Monthly Running Cost'!V19="","",'Monthly Running Cost'!V19)</f>
        <v/>
      </c>
    </row>
    <row r="238" spans="1:5" x14ac:dyDescent="0.3">
      <c r="A238" s="208" t="s">
        <v>212</v>
      </c>
      <c r="B238" s="207" t="str">
        <f>IF('Machine Fixed Monthly Cost VS I'!AV19="","",'Machine Fixed Monthly Cost VS I'!AV19)</f>
        <v/>
      </c>
      <c r="C238" s="207">
        <f>IF('Machine Fixed Monthly Cost VS I'!AW19="","",'Machine Fixed Monthly Cost VS I'!AW19)</f>
        <v>24854.85</v>
      </c>
      <c r="D238" s="207" t="str">
        <f>IF('Machine Fixed Monthly Cost VS I'!AX19="","",'Machine Fixed Monthly Cost VS I'!AX19)</f>
        <v/>
      </c>
      <c r="E238" s="209" t="str">
        <f>IF('Monthly Running Cost'!X19="","",'Monthly Running Cost'!X19)</f>
        <v/>
      </c>
    </row>
    <row r="239" spans="1:5" x14ac:dyDescent="0.3">
      <c r="A239" s="208" t="s">
        <v>213</v>
      </c>
      <c r="B239" s="207" t="str">
        <f>IF('Machine Fixed Monthly Cost VS I'!AZ19="","",'Machine Fixed Monthly Cost VS I'!AZ19)</f>
        <v/>
      </c>
      <c r="C239" s="207">
        <f>IF('Machine Fixed Monthly Cost VS I'!BA19="","",'Machine Fixed Monthly Cost VS I'!BA19)</f>
        <v>24854.85</v>
      </c>
      <c r="D239" s="207" t="str">
        <f>IF('Machine Fixed Monthly Cost VS I'!BB19="","",'Machine Fixed Monthly Cost VS I'!BB19)</f>
        <v/>
      </c>
      <c r="E239" s="209" t="str">
        <f>IF('Monthly Running Cost'!Z19="","",'Monthly Running Cost'!Z19)</f>
        <v/>
      </c>
    </row>
    <row r="240" spans="1:5" x14ac:dyDescent="0.3">
      <c r="E240" s="209"/>
    </row>
    <row r="241" spans="1:5" x14ac:dyDescent="0.3">
      <c r="A241" s="246" t="s">
        <v>229</v>
      </c>
      <c r="B241" s="246"/>
      <c r="C241" s="246"/>
      <c r="D241" s="246"/>
      <c r="E241" s="209"/>
    </row>
    <row r="242" spans="1:5" x14ac:dyDescent="0.3">
      <c r="A242" s="204" t="s">
        <v>199</v>
      </c>
      <c r="B242" s="205" t="s">
        <v>200</v>
      </c>
      <c r="C242" s="205" t="s">
        <v>201</v>
      </c>
      <c r="D242" s="206" t="s">
        <v>129</v>
      </c>
      <c r="E242" s="210" t="s">
        <v>248</v>
      </c>
    </row>
    <row r="243" spans="1:5" x14ac:dyDescent="0.3">
      <c r="A243" s="208" t="s">
        <v>202</v>
      </c>
      <c r="B243" s="207">
        <f>IF('Machine Fixed Monthly Cost VS I'!H20="","",'Machine Fixed Monthly Cost VS I'!H20)</f>
        <v>39019.5</v>
      </c>
      <c r="C243" s="207">
        <f>IF('Machine Fixed Monthly Cost VS I'!I20="","",'Machine Fixed Monthly Cost VS I'!I20)</f>
        <v>53921.919999999998</v>
      </c>
      <c r="D243" s="207">
        <f>IF('Machine Fixed Monthly Cost VS I'!J20="","",'Machine Fixed Monthly Cost VS I'!J20)</f>
        <v>-14902.419999999998</v>
      </c>
      <c r="E243" s="209">
        <f>IF('Monthly Running Cost'!D20="","",'Monthly Running Cost'!D20)</f>
        <v>1634.5</v>
      </c>
    </row>
    <row r="244" spans="1:5" x14ac:dyDescent="0.3">
      <c r="A244" s="208" t="s">
        <v>203</v>
      </c>
      <c r="B244" s="207">
        <f>IF('Machine Fixed Monthly Cost VS I'!L20="","",'Machine Fixed Monthly Cost VS I'!L20)</f>
        <v>47989.499999999993</v>
      </c>
      <c r="C244" s="207">
        <f>IF('Machine Fixed Monthly Cost VS I'!M20="","",'Machine Fixed Monthly Cost VS I'!M20)</f>
        <v>60995.619999999995</v>
      </c>
      <c r="D244" s="207">
        <f>IF('Machine Fixed Monthly Cost VS I'!N20="","",'Machine Fixed Monthly Cost VS I'!N20)</f>
        <v>-13006.120000000003</v>
      </c>
      <c r="E244" s="209" t="str">
        <f>IF('Monthly Running Cost'!F20="","",'Monthly Running Cost'!F20)</f>
        <v/>
      </c>
    </row>
    <row r="245" spans="1:5" x14ac:dyDescent="0.3">
      <c r="A245" s="208" t="s">
        <v>204</v>
      </c>
      <c r="B245" s="207">
        <f>IF('Machine Fixed Monthly Cost VS I'!P20="","",'Machine Fixed Monthly Cost VS I'!P20)</f>
        <v>54716.999999999993</v>
      </c>
      <c r="C245" s="207">
        <f>IF('Machine Fixed Monthly Cost VS I'!Q20="","",'Machine Fixed Monthly Cost VS I'!Q20)</f>
        <v>58702.319999999992</v>
      </c>
      <c r="D245" s="207">
        <f>IF('Machine Fixed Monthly Cost VS I'!R20="","",'Machine Fixed Monthly Cost VS I'!R20)</f>
        <v>-3985.3199999999997</v>
      </c>
      <c r="E245" s="209">
        <f>IF('Monthly Running Cost'!H20="","",'Monthly Running Cost'!H20)</f>
        <v>2502.1999999999998</v>
      </c>
    </row>
    <row r="246" spans="1:5" x14ac:dyDescent="0.3">
      <c r="A246" s="208" t="s">
        <v>205</v>
      </c>
      <c r="B246" s="207">
        <f>IF('Machine Fixed Monthly Cost VS I'!T20="","",'Machine Fixed Monthly Cost VS I'!T20)</f>
        <v>42159</v>
      </c>
      <c r="C246" s="207">
        <f>IF('Machine Fixed Monthly Cost VS I'!U20="","",'Machine Fixed Monthly Cost VS I'!U20)</f>
        <v>58411.619999999995</v>
      </c>
      <c r="D246" s="207">
        <f>IF('Machine Fixed Monthly Cost VS I'!V20="","",'Machine Fixed Monthly Cost VS I'!V20)</f>
        <v>-16252.619999999995</v>
      </c>
      <c r="E246" s="209" t="str">
        <f>IF('Monthly Running Cost'!J20="","",'Monthly Running Cost'!J20)</f>
        <v/>
      </c>
    </row>
    <row r="247" spans="1:5" x14ac:dyDescent="0.3">
      <c r="A247" s="208" t="s">
        <v>206</v>
      </c>
      <c r="B247" s="207">
        <f>IF('Machine Fixed Monthly Cost VS I'!X20="","",'Machine Fixed Monthly Cost VS I'!X20)</f>
        <v>44401.5</v>
      </c>
      <c r="C247" s="207">
        <f>IF('Machine Fixed Monthly Cost VS I'!Y20="","",'Machine Fixed Monthly Cost VS I'!Y20)</f>
        <v>60608.02</v>
      </c>
      <c r="D247" s="207">
        <f>IF('Machine Fixed Monthly Cost VS I'!Z20="","",'Machine Fixed Monthly Cost VS I'!Z20)</f>
        <v>-16206.519999999997</v>
      </c>
      <c r="E247" s="209" t="str">
        <f>IF('Monthly Running Cost'!L20="","",'Monthly Running Cost'!L20)</f>
        <v/>
      </c>
    </row>
    <row r="248" spans="1:5" x14ac:dyDescent="0.3">
      <c r="A248" s="208" t="s">
        <v>207</v>
      </c>
      <c r="B248" s="207">
        <f>IF('Machine Fixed Monthly Cost VS I'!AB20="","",'Machine Fixed Monthly Cost VS I'!AB20)</f>
        <v>55016</v>
      </c>
      <c r="C248" s="207">
        <f>IF('Machine Fixed Monthly Cost VS I'!AC20="","",'Machine Fixed Monthly Cost VS I'!AC20)</f>
        <v>62626.77</v>
      </c>
      <c r="D248" s="207">
        <f>IF('Machine Fixed Monthly Cost VS I'!AD20="","",'Machine Fixed Monthly Cost VS I'!AD20)</f>
        <v>-7610.7699999999968</v>
      </c>
      <c r="E248" s="209" t="str">
        <f>IF('Monthly Running Cost'!N20="","",'Monthly Running Cost'!N20)</f>
        <v/>
      </c>
    </row>
    <row r="249" spans="1:5" x14ac:dyDescent="0.3">
      <c r="A249" s="208" t="s">
        <v>208</v>
      </c>
      <c r="B249" s="207">
        <f>IF('Machine Fixed Monthly Cost VS I'!AF20="","",'Machine Fixed Monthly Cost VS I'!AF20)</f>
        <v>61594</v>
      </c>
      <c r="C249" s="207">
        <f>IF('Machine Fixed Monthly Cost VS I'!AG20="","",'Machine Fixed Monthly Cost VS I'!AG20)</f>
        <v>59994.319999999992</v>
      </c>
      <c r="D249" s="207">
        <f>IF('Machine Fixed Monthly Cost VS I'!AH20="","",'Machine Fixed Monthly Cost VS I'!AH20)</f>
        <v>1599.6800000000076</v>
      </c>
      <c r="E249" s="209">
        <f>IF('Monthly Running Cost'!P20="","",'Monthly Running Cost'!P20)</f>
        <v>2070</v>
      </c>
    </row>
    <row r="250" spans="1:5" x14ac:dyDescent="0.3">
      <c r="A250" s="208" t="s">
        <v>209</v>
      </c>
      <c r="B250" s="207">
        <f>IF('Machine Fixed Monthly Cost VS I'!AJ20="","",'Machine Fixed Monthly Cost VS I'!AJ20)</f>
        <v>50082.5</v>
      </c>
      <c r="C250" s="207">
        <f>IF('Machine Fixed Monthly Cost VS I'!AK20="","",'Machine Fixed Monthly Cost VS I'!AK20)</f>
        <v>61286.319999999992</v>
      </c>
      <c r="D250" s="207">
        <f>IF('Machine Fixed Monthly Cost VS I'!AL20="","",'Machine Fixed Monthly Cost VS I'!AL20)</f>
        <v>-11203.819999999992</v>
      </c>
      <c r="E250" s="209">
        <f>IF('Monthly Running Cost'!R20="","",'Monthly Running Cost'!R20)</f>
        <v>5108.76</v>
      </c>
    </row>
    <row r="251" spans="1:5" x14ac:dyDescent="0.3">
      <c r="A251" s="208" t="s">
        <v>210</v>
      </c>
      <c r="B251" s="207" t="str">
        <f>IF('Machine Fixed Monthly Cost VS I'!AN20="","",'Machine Fixed Monthly Cost VS I'!AN20)</f>
        <v/>
      </c>
      <c r="C251" s="207">
        <f>IF('Machine Fixed Monthly Cost VS I'!AO20="","",'Machine Fixed Monthly Cost VS I'!AO20)</f>
        <v>48334.02</v>
      </c>
      <c r="D251" s="207" t="str">
        <f>IF('Machine Fixed Monthly Cost VS I'!AP20="","",'Machine Fixed Monthly Cost VS I'!AP20)</f>
        <v/>
      </c>
      <c r="E251" s="209" t="str">
        <f>IF('Monthly Running Cost'!T20="","",'Monthly Running Cost'!T20)</f>
        <v/>
      </c>
    </row>
    <row r="252" spans="1:5" x14ac:dyDescent="0.3">
      <c r="A252" s="208" t="s">
        <v>211</v>
      </c>
      <c r="B252" s="207" t="str">
        <f>IF('Machine Fixed Monthly Cost VS I'!AR20="","",'Machine Fixed Monthly Cost VS I'!AR20)</f>
        <v/>
      </c>
      <c r="C252" s="207">
        <f>IF('Machine Fixed Monthly Cost VS I'!AS20="","",'Machine Fixed Monthly Cost VS I'!AS20)</f>
        <v>48334.02</v>
      </c>
      <c r="D252" s="207" t="str">
        <f>IF('Machine Fixed Monthly Cost VS I'!AT20="","",'Machine Fixed Monthly Cost VS I'!AT20)</f>
        <v/>
      </c>
      <c r="E252" s="209" t="str">
        <f>IF('Monthly Running Cost'!V20="","",'Monthly Running Cost'!V20)</f>
        <v/>
      </c>
    </row>
    <row r="253" spans="1:5" x14ac:dyDescent="0.3">
      <c r="A253" s="208" t="s">
        <v>212</v>
      </c>
      <c r="B253" s="207" t="str">
        <f>IF('Machine Fixed Monthly Cost VS I'!AV20="","",'Machine Fixed Monthly Cost VS I'!AV20)</f>
        <v/>
      </c>
      <c r="C253" s="207">
        <f>IF('Machine Fixed Monthly Cost VS I'!AW20="","",'Machine Fixed Monthly Cost VS I'!AW20)</f>
        <v>48334.02</v>
      </c>
      <c r="D253" s="207" t="str">
        <f>IF('Machine Fixed Monthly Cost VS I'!AX20="","",'Machine Fixed Monthly Cost VS I'!AX20)</f>
        <v/>
      </c>
      <c r="E253" s="209" t="str">
        <f>IF('Monthly Running Cost'!X20="","",'Monthly Running Cost'!X20)</f>
        <v/>
      </c>
    </row>
    <row r="254" spans="1:5" x14ac:dyDescent="0.3">
      <c r="A254" s="208" t="s">
        <v>213</v>
      </c>
      <c r="B254" s="207" t="str">
        <f>IF('Machine Fixed Monthly Cost VS I'!AZ20="","",'Machine Fixed Monthly Cost VS I'!AZ20)</f>
        <v/>
      </c>
      <c r="C254" s="207">
        <f>IF('Machine Fixed Monthly Cost VS I'!BA20="","",'Machine Fixed Monthly Cost VS I'!BA20)</f>
        <v>48334.02</v>
      </c>
      <c r="D254" s="207" t="str">
        <f>IF('Machine Fixed Monthly Cost VS I'!BB20="","",'Machine Fixed Monthly Cost VS I'!BB20)</f>
        <v/>
      </c>
      <c r="E254" s="209" t="str">
        <f>IF('Monthly Running Cost'!Z20="","",'Monthly Running Cost'!Z20)</f>
        <v/>
      </c>
    </row>
    <row r="255" spans="1:5" x14ac:dyDescent="0.3">
      <c r="E255" s="209"/>
    </row>
    <row r="256" spans="1:5" x14ac:dyDescent="0.3">
      <c r="A256" s="246" t="s">
        <v>230</v>
      </c>
      <c r="B256" s="246"/>
      <c r="C256" s="246"/>
      <c r="D256" s="246"/>
      <c r="E256" s="209"/>
    </row>
    <row r="257" spans="1:5" x14ac:dyDescent="0.3">
      <c r="A257" s="204" t="s">
        <v>199</v>
      </c>
      <c r="B257" s="205" t="s">
        <v>200</v>
      </c>
      <c r="C257" s="205" t="s">
        <v>201</v>
      </c>
      <c r="D257" s="206" t="s">
        <v>129</v>
      </c>
      <c r="E257" s="210" t="s">
        <v>248</v>
      </c>
    </row>
    <row r="258" spans="1:5" x14ac:dyDescent="0.3">
      <c r="A258" s="208" t="s">
        <v>202</v>
      </c>
      <c r="B258" s="207">
        <f>IF('Machine Fixed Monthly Cost VS I'!H21="","",'Machine Fixed Monthly Cost VS I'!H21)</f>
        <v>27375.749999999996</v>
      </c>
      <c r="C258" s="207">
        <f>IF('Machine Fixed Monthly Cost VS I'!I21="","",'Machine Fixed Monthly Cost VS I'!I21)</f>
        <v>13466.36</v>
      </c>
      <c r="D258" s="207">
        <f>IF('Machine Fixed Monthly Cost VS I'!J21="","",'Machine Fixed Monthly Cost VS I'!J21)</f>
        <v>13909.389999999996</v>
      </c>
      <c r="E258" s="209" t="str">
        <f>IF('Monthly Running Cost'!D21="","",'Monthly Running Cost'!D21)</f>
        <v/>
      </c>
    </row>
    <row r="259" spans="1:5" x14ac:dyDescent="0.3">
      <c r="A259" s="208" t="s">
        <v>203</v>
      </c>
      <c r="B259" s="207">
        <f>IF('Machine Fixed Monthly Cost VS I'!L21="","",'Machine Fixed Monthly Cost VS I'!L21)</f>
        <v>45361.75</v>
      </c>
      <c r="C259" s="207">
        <f>IF('Machine Fixed Monthly Cost VS I'!M21="","",'Machine Fixed Monthly Cost VS I'!M21)</f>
        <v>20572.36</v>
      </c>
      <c r="D259" s="207">
        <f>IF('Machine Fixed Monthly Cost VS I'!N21="","",'Machine Fixed Monthly Cost VS I'!N21)</f>
        <v>24789.39</v>
      </c>
      <c r="E259" s="209">
        <f>IF('Monthly Running Cost'!F21="","",'Monthly Running Cost'!F21)</f>
        <v>2330.3000000000002</v>
      </c>
    </row>
    <row r="260" spans="1:5" x14ac:dyDescent="0.3">
      <c r="A260" s="208" t="s">
        <v>204</v>
      </c>
      <c r="B260" s="207">
        <f>IF('Machine Fixed Monthly Cost VS I'!P21="","",'Machine Fixed Monthly Cost VS I'!P21)</f>
        <v>55280.499999999993</v>
      </c>
      <c r="C260" s="207">
        <f>IF('Machine Fixed Monthly Cost VS I'!Q21="","",'Machine Fixed Monthly Cost VS I'!Q21)</f>
        <v>18925.059999999998</v>
      </c>
      <c r="D260" s="207">
        <f>IF('Machine Fixed Monthly Cost VS I'!R21="","",'Machine Fixed Monthly Cost VS I'!R21)</f>
        <v>36355.439999999995</v>
      </c>
      <c r="E260" s="209" t="str">
        <f>IF('Monthly Running Cost'!H21="","",'Monthly Running Cost'!H21)</f>
        <v/>
      </c>
    </row>
    <row r="261" spans="1:5" x14ac:dyDescent="0.3">
      <c r="A261" s="208" t="s">
        <v>205</v>
      </c>
      <c r="B261" s="207">
        <f>IF('Machine Fixed Monthly Cost VS I'!T21="","",'Machine Fixed Monthly Cost VS I'!T21)</f>
        <v>43642.5</v>
      </c>
      <c r="C261" s="207">
        <f>IF('Machine Fixed Monthly Cost VS I'!U21="","",'Machine Fixed Monthly Cost VS I'!U21)</f>
        <v>20863.059999999998</v>
      </c>
      <c r="D261" s="207">
        <f>IF('Machine Fixed Monthly Cost VS I'!V21="","",'Machine Fixed Monthly Cost VS I'!V21)</f>
        <v>22779.440000000002</v>
      </c>
      <c r="E261" s="209">
        <f>IF('Monthly Running Cost'!J21="","",'Monthly Running Cost'!J21)</f>
        <v>1586</v>
      </c>
    </row>
    <row r="262" spans="1:5" x14ac:dyDescent="0.3">
      <c r="A262" s="208" t="s">
        <v>206</v>
      </c>
      <c r="B262" s="207">
        <f>IF('Machine Fixed Monthly Cost VS I'!X21="","",'Machine Fixed Monthly Cost VS I'!X21)</f>
        <v>41262</v>
      </c>
      <c r="C262" s="207">
        <f>IF('Machine Fixed Monthly Cost VS I'!Y21="","",'Machine Fixed Monthly Cost VS I'!Y21)</f>
        <v>19667.96</v>
      </c>
      <c r="D262" s="207">
        <f>IF('Machine Fixed Monthly Cost VS I'!Z21="","",'Machine Fixed Monthly Cost VS I'!Z21)</f>
        <v>21594.04</v>
      </c>
      <c r="E262" s="209">
        <f>IF('Monthly Running Cost'!L21="","",'Monthly Running Cost'!L21)</f>
        <v>2392.835</v>
      </c>
    </row>
    <row r="263" spans="1:5" x14ac:dyDescent="0.3">
      <c r="A263" s="208" t="s">
        <v>207</v>
      </c>
      <c r="B263" s="207">
        <f>IF('Machine Fixed Monthly Cost VS I'!AB21="","",'Machine Fixed Monthly Cost VS I'!AB21)</f>
        <v>40600.75</v>
      </c>
      <c r="C263" s="207">
        <f>IF('Machine Fixed Monthly Cost VS I'!AC21="","",'Machine Fixed Monthly Cost VS I'!AC21)</f>
        <v>20281.66</v>
      </c>
      <c r="D263" s="207">
        <f>IF('Machine Fixed Monthly Cost VS I'!AD21="","",'Machine Fixed Monthly Cost VS I'!AD21)</f>
        <v>20319.09</v>
      </c>
      <c r="E263" s="209">
        <f>IF('Monthly Running Cost'!N21="","",'Monthly Running Cost'!N21)</f>
        <v>429</v>
      </c>
    </row>
    <row r="264" spans="1:5" x14ac:dyDescent="0.3">
      <c r="A264" s="208" t="s">
        <v>208</v>
      </c>
      <c r="B264" s="207">
        <f>IF('Machine Fixed Monthly Cost VS I'!AF21="","",'Machine Fixed Monthly Cost VS I'!AF21)</f>
        <v>56867.5</v>
      </c>
      <c r="C264" s="207">
        <f>IF('Machine Fixed Monthly Cost VS I'!AG21="","",'Machine Fixed Monthly Cost VS I'!AG21)</f>
        <v>19506.46</v>
      </c>
      <c r="D264" s="207">
        <f>IF('Machine Fixed Monthly Cost VS I'!AH21="","",'Machine Fixed Monthly Cost VS I'!AH21)</f>
        <v>37361.040000000001</v>
      </c>
      <c r="E264" s="209" t="str">
        <f>IF('Monthly Running Cost'!P21="","",'Monthly Running Cost'!P21)</f>
        <v/>
      </c>
    </row>
    <row r="265" spans="1:5" x14ac:dyDescent="0.3">
      <c r="A265" s="208" t="s">
        <v>209</v>
      </c>
      <c r="B265" s="207">
        <f>IF('Machine Fixed Monthly Cost VS I'!AJ21="","",'Machine Fixed Monthly Cost VS I'!AJ21)</f>
        <v>41791</v>
      </c>
      <c r="C265" s="207">
        <f>IF('Machine Fixed Monthly Cost VS I'!AK21="","",'Machine Fixed Monthly Cost VS I'!AK21)</f>
        <v>20669.260000000002</v>
      </c>
      <c r="D265" s="207">
        <f>IF('Machine Fixed Monthly Cost VS I'!AL21="","",'Machine Fixed Monthly Cost VS I'!AL21)</f>
        <v>21121.739999999998</v>
      </c>
      <c r="E265" s="209" t="str">
        <f>IF('Monthly Running Cost'!R21="","",'Monthly Running Cost'!R21)</f>
        <v/>
      </c>
    </row>
    <row r="266" spans="1:5" x14ac:dyDescent="0.3">
      <c r="A266" s="208" t="s">
        <v>210</v>
      </c>
      <c r="B266" s="207" t="str">
        <f>IF('Machine Fixed Monthly Cost VS I'!AN21="","",'Machine Fixed Monthly Cost VS I'!AN21)</f>
        <v/>
      </c>
      <c r="C266" s="207">
        <f>IF('Machine Fixed Monthly Cost VS I'!AO21="","",'Machine Fixed Monthly Cost VS I'!AO21)</f>
        <v>7846.16</v>
      </c>
      <c r="D266" s="207" t="str">
        <f>IF('Machine Fixed Monthly Cost VS I'!AP21="","",'Machine Fixed Monthly Cost VS I'!AP21)</f>
        <v/>
      </c>
      <c r="E266" s="209" t="str">
        <f>IF('Monthly Running Cost'!T21="","",'Monthly Running Cost'!T21)</f>
        <v/>
      </c>
    </row>
    <row r="267" spans="1:5" x14ac:dyDescent="0.3">
      <c r="A267" s="208" t="s">
        <v>211</v>
      </c>
      <c r="B267" s="207" t="str">
        <f>IF('Machine Fixed Monthly Cost VS I'!AR21="","",'Machine Fixed Monthly Cost VS I'!AR21)</f>
        <v/>
      </c>
      <c r="C267" s="207">
        <f>IF('Machine Fixed Monthly Cost VS I'!AS21="","",'Machine Fixed Monthly Cost VS I'!AS21)</f>
        <v>7846.16</v>
      </c>
      <c r="D267" s="207" t="str">
        <f>IF('Machine Fixed Monthly Cost VS I'!AT21="","",'Machine Fixed Monthly Cost VS I'!AT21)</f>
        <v/>
      </c>
      <c r="E267" s="209" t="str">
        <f>IF('Monthly Running Cost'!V21="","",'Monthly Running Cost'!V21)</f>
        <v/>
      </c>
    </row>
    <row r="268" spans="1:5" x14ac:dyDescent="0.3">
      <c r="A268" s="208" t="s">
        <v>212</v>
      </c>
      <c r="B268" s="207" t="str">
        <f>IF('Machine Fixed Monthly Cost VS I'!AV21="","",'Machine Fixed Monthly Cost VS I'!AV21)</f>
        <v/>
      </c>
      <c r="C268" s="207">
        <f>IF('Machine Fixed Monthly Cost VS I'!AW21="","",'Machine Fixed Monthly Cost VS I'!AW21)</f>
        <v>7846.16</v>
      </c>
      <c r="D268" s="207" t="str">
        <f>IF('Machine Fixed Monthly Cost VS I'!AX21="","",'Machine Fixed Monthly Cost VS I'!AX21)</f>
        <v/>
      </c>
      <c r="E268" s="209" t="str">
        <f>IF('Monthly Running Cost'!X21="","",'Monthly Running Cost'!X21)</f>
        <v/>
      </c>
    </row>
    <row r="269" spans="1:5" x14ac:dyDescent="0.3">
      <c r="A269" s="208" t="s">
        <v>213</v>
      </c>
      <c r="B269" s="207" t="str">
        <f>IF('Machine Fixed Monthly Cost VS I'!AZ21="","",'Machine Fixed Monthly Cost VS I'!AZ21)</f>
        <v/>
      </c>
      <c r="C269" s="207">
        <f>IF('Machine Fixed Monthly Cost VS I'!BA21="","",'Machine Fixed Monthly Cost VS I'!BA21)</f>
        <v>7846.16</v>
      </c>
      <c r="D269" s="207" t="str">
        <f>IF('Machine Fixed Monthly Cost VS I'!BB21="","",'Machine Fixed Monthly Cost VS I'!BB21)</f>
        <v/>
      </c>
      <c r="E269" s="209" t="str">
        <f>IF('Monthly Running Cost'!Z21="","",'Monthly Running Cost'!Z21)</f>
        <v/>
      </c>
    </row>
    <row r="270" spans="1:5" x14ac:dyDescent="0.3">
      <c r="E270" s="209"/>
    </row>
    <row r="271" spans="1:5" x14ac:dyDescent="0.3">
      <c r="A271" s="246" t="s">
        <v>231</v>
      </c>
      <c r="B271" s="246"/>
      <c r="C271" s="246"/>
      <c r="D271" s="246"/>
      <c r="E271" s="209"/>
    </row>
    <row r="272" spans="1:5" x14ac:dyDescent="0.3">
      <c r="A272" s="204" t="s">
        <v>199</v>
      </c>
      <c r="B272" s="205" t="s">
        <v>200</v>
      </c>
      <c r="C272" s="205" t="s">
        <v>201</v>
      </c>
      <c r="D272" s="206" t="s">
        <v>129</v>
      </c>
      <c r="E272" s="210" t="s">
        <v>248</v>
      </c>
    </row>
    <row r="273" spans="1:5" x14ac:dyDescent="0.3">
      <c r="A273" s="208" t="s">
        <v>202</v>
      </c>
      <c r="B273" s="207" t="str">
        <f>IF('Machine Fixed Monthly Cost VS I'!H22="","",'Machine Fixed Monthly Cost VS I'!H22)</f>
        <v/>
      </c>
      <c r="C273" s="207">
        <f>IF('Machine Fixed Monthly Cost VS I'!I22="","",'Machine Fixed Monthly Cost VS I'!I22)</f>
        <v>8938.34</v>
      </c>
      <c r="D273" s="207">
        <f>IF('Machine Fixed Monthly Cost VS I'!J22="","",'Machine Fixed Monthly Cost VS I'!J22)</f>
        <v>-8938.34</v>
      </c>
      <c r="E273" s="209" t="str">
        <f>IF('Monthly Running Cost'!D22="","",'Monthly Running Cost'!D22)</f>
        <v/>
      </c>
    </row>
    <row r="274" spans="1:5" x14ac:dyDescent="0.3">
      <c r="A274" s="208" t="s">
        <v>203</v>
      </c>
      <c r="B274" s="207">
        <f>IF('Machine Fixed Monthly Cost VS I'!L22="","",'Machine Fixed Monthly Cost VS I'!L22)</f>
        <v>15340.999999999998</v>
      </c>
      <c r="C274" s="207">
        <f>IF('Machine Fixed Monthly Cost VS I'!M22="","",'Machine Fixed Monthly Cost VS I'!M22)</f>
        <v>16044.34</v>
      </c>
      <c r="D274" s="207">
        <f>IF('Machine Fixed Monthly Cost VS I'!N22="","",'Machine Fixed Monthly Cost VS I'!N22)</f>
        <v>-703.34000000000196</v>
      </c>
      <c r="E274" s="209">
        <f>IF('Monthly Running Cost'!F22="","",'Monthly Running Cost'!F22)</f>
        <v>88147.86</v>
      </c>
    </row>
    <row r="275" spans="1:5" x14ac:dyDescent="0.3">
      <c r="A275" s="208" t="s">
        <v>204</v>
      </c>
      <c r="B275" s="207">
        <f>IF('Machine Fixed Monthly Cost VS I'!P22="","",'Machine Fixed Monthly Cost VS I'!P22)</f>
        <v>47742.249999999993</v>
      </c>
      <c r="C275" s="207">
        <f>IF('Machine Fixed Monthly Cost VS I'!Q22="","",'Machine Fixed Monthly Cost VS I'!Q22)</f>
        <v>14267.84</v>
      </c>
      <c r="D275" s="207">
        <f>IF('Machine Fixed Monthly Cost VS I'!R22="","",'Machine Fixed Monthly Cost VS I'!R22)</f>
        <v>33474.409999999989</v>
      </c>
      <c r="E275" s="209">
        <f>IF('Monthly Running Cost'!H22="","",'Monthly Running Cost'!H22)</f>
        <v>2472.5500000000002</v>
      </c>
    </row>
    <row r="276" spans="1:5" x14ac:dyDescent="0.3">
      <c r="A276" s="208" t="s">
        <v>205</v>
      </c>
      <c r="B276" s="207">
        <f>IF('Machine Fixed Monthly Cost VS I'!T22="","",'Machine Fixed Monthly Cost VS I'!T22)</f>
        <v>33723.75</v>
      </c>
      <c r="C276" s="207">
        <f>IF('Machine Fixed Monthly Cost VS I'!U22="","",'Machine Fixed Monthly Cost VS I'!U22)</f>
        <v>13686.439999999999</v>
      </c>
      <c r="D276" s="207">
        <f>IF('Machine Fixed Monthly Cost VS I'!V22="","",'Machine Fixed Monthly Cost VS I'!V22)</f>
        <v>20037.310000000001</v>
      </c>
      <c r="E276" s="209">
        <f>IF('Monthly Running Cost'!J22="","",'Monthly Running Cost'!J22)</f>
        <v>6239</v>
      </c>
    </row>
    <row r="277" spans="1:5" x14ac:dyDescent="0.3">
      <c r="A277" s="208" t="s">
        <v>206</v>
      </c>
      <c r="B277" s="207">
        <f>IF('Machine Fixed Monthly Cost VS I'!X22="","",'Machine Fixed Monthly Cost VS I'!X22)</f>
        <v>47874.5</v>
      </c>
      <c r="C277" s="207">
        <f>IF('Machine Fixed Monthly Cost VS I'!Y22="","",'Machine Fixed Monthly Cost VS I'!Y22)</f>
        <v>17223.29</v>
      </c>
      <c r="D277" s="207">
        <f>IF('Machine Fixed Monthly Cost VS I'!Z22="","",'Machine Fixed Monthly Cost VS I'!Z22)</f>
        <v>30651.21</v>
      </c>
      <c r="E277" s="209">
        <f>IF('Monthly Running Cost'!L22="","",'Monthly Running Cost'!L22)</f>
        <v>2868.6349999999998</v>
      </c>
    </row>
    <row r="278" spans="1:5" x14ac:dyDescent="0.3">
      <c r="A278" s="208" t="s">
        <v>207</v>
      </c>
      <c r="B278" s="207">
        <f>IF('Machine Fixed Monthly Cost VS I'!AB22="","",'Machine Fixed Monthly Cost VS I'!AB22)</f>
        <v>40733</v>
      </c>
      <c r="C278" s="207">
        <f>IF('Machine Fixed Monthly Cost VS I'!AC22="","",'Machine Fixed Monthly Cost VS I'!AC22)</f>
        <v>18418.39</v>
      </c>
      <c r="D278" s="207">
        <f>IF('Machine Fixed Monthly Cost VS I'!AD22="","",'Machine Fixed Monthly Cost VS I'!AD22)</f>
        <v>22314.61</v>
      </c>
      <c r="E278" s="209">
        <f>IF('Monthly Running Cost'!N22="","",'Monthly Running Cost'!N22)</f>
        <v>60306.630000000005</v>
      </c>
    </row>
    <row r="279" spans="1:5" x14ac:dyDescent="0.3">
      <c r="A279" s="208" t="s">
        <v>208</v>
      </c>
      <c r="B279" s="207">
        <f>IF('Machine Fixed Monthly Cost VS I'!AF22="","",'Machine Fixed Monthly Cost VS I'!AF22)</f>
        <v>60702.75</v>
      </c>
      <c r="C279" s="207">
        <f>IF('Machine Fixed Monthly Cost VS I'!AG22="","",'Machine Fixed Monthly Cost VS I'!AG22)</f>
        <v>15850.539999999999</v>
      </c>
      <c r="D279" s="207">
        <f>IF('Machine Fixed Monthly Cost VS I'!AH22="","",'Machine Fixed Monthly Cost VS I'!AH22)</f>
        <v>44852.21</v>
      </c>
      <c r="E279" s="209" t="str">
        <f>IF('Monthly Running Cost'!P22="","",'Monthly Running Cost'!P22)</f>
        <v/>
      </c>
    </row>
    <row r="280" spans="1:5" x14ac:dyDescent="0.3">
      <c r="A280" s="208" t="s">
        <v>209</v>
      </c>
      <c r="B280" s="207">
        <f>IF('Machine Fixed Monthly Cost VS I'!AJ22="","",'Machine Fixed Monthly Cost VS I'!AJ22)</f>
        <v>39807.25</v>
      </c>
      <c r="C280" s="207">
        <f>IF('Machine Fixed Monthly Cost VS I'!AK22="","",'Machine Fixed Monthly Cost VS I'!AK22)</f>
        <v>16141.24</v>
      </c>
      <c r="D280" s="207">
        <f>IF('Machine Fixed Monthly Cost VS I'!AL22="","",'Machine Fixed Monthly Cost VS I'!AL22)</f>
        <v>23666.010000000002</v>
      </c>
      <c r="E280" s="209">
        <f>IF('Monthly Running Cost'!R22="","",'Monthly Running Cost'!R22)</f>
        <v>4186.58</v>
      </c>
    </row>
    <row r="281" spans="1:5" x14ac:dyDescent="0.3">
      <c r="A281" s="208" t="s">
        <v>210</v>
      </c>
      <c r="B281" s="207" t="str">
        <f>IF('Machine Fixed Monthly Cost VS I'!AN22="","",'Machine Fixed Monthly Cost VS I'!AN22)</f>
        <v/>
      </c>
      <c r="C281" s="207">
        <f>IF('Machine Fixed Monthly Cost VS I'!AO22="","",'Machine Fixed Monthly Cost VS I'!AO22)</f>
        <v>3318.14</v>
      </c>
      <c r="D281" s="207" t="str">
        <f>IF('Machine Fixed Monthly Cost VS I'!AP22="","",'Machine Fixed Monthly Cost VS I'!AP22)</f>
        <v/>
      </c>
      <c r="E281" s="209" t="str">
        <f>IF('Monthly Running Cost'!T22="","",'Monthly Running Cost'!T22)</f>
        <v/>
      </c>
    </row>
    <row r="282" spans="1:5" x14ac:dyDescent="0.3">
      <c r="A282" s="208" t="s">
        <v>211</v>
      </c>
      <c r="B282" s="207" t="str">
        <f>IF('Machine Fixed Monthly Cost VS I'!AR22="","",'Machine Fixed Monthly Cost VS I'!AR22)</f>
        <v/>
      </c>
      <c r="C282" s="207">
        <f>IF('Machine Fixed Monthly Cost VS I'!AS22="","",'Machine Fixed Monthly Cost VS I'!AS22)</f>
        <v>3318.14</v>
      </c>
      <c r="D282" s="207" t="str">
        <f>IF('Machine Fixed Monthly Cost VS I'!AT22="","",'Machine Fixed Monthly Cost VS I'!AT22)</f>
        <v/>
      </c>
      <c r="E282" s="209" t="str">
        <f>IF('Monthly Running Cost'!V22="","",'Monthly Running Cost'!V22)</f>
        <v/>
      </c>
    </row>
    <row r="283" spans="1:5" x14ac:dyDescent="0.3">
      <c r="A283" s="208" t="s">
        <v>212</v>
      </c>
      <c r="B283" s="207" t="str">
        <f>IF('Machine Fixed Monthly Cost VS I'!AV22="","",'Machine Fixed Monthly Cost VS I'!AV22)</f>
        <v/>
      </c>
      <c r="C283" s="207">
        <f>IF('Machine Fixed Monthly Cost VS I'!AW22="","",'Machine Fixed Monthly Cost VS I'!AW22)</f>
        <v>3318.14</v>
      </c>
      <c r="D283" s="207" t="str">
        <f>IF('Machine Fixed Monthly Cost VS I'!AX22="","",'Machine Fixed Monthly Cost VS I'!AX22)</f>
        <v/>
      </c>
      <c r="E283" s="209" t="str">
        <f>IF('Monthly Running Cost'!X22="","",'Monthly Running Cost'!X22)</f>
        <v/>
      </c>
    </row>
    <row r="284" spans="1:5" x14ac:dyDescent="0.3">
      <c r="A284" s="208" t="s">
        <v>213</v>
      </c>
      <c r="B284" s="207" t="str">
        <f>IF('Machine Fixed Monthly Cost VS I'!AZ22="","",'Machine Fixed Monthly Cost VS I'!AZ22)</f>
        <v/>
      </c>
      <c r="C284" s="207">
        <f>IF('Machine Fixed Monthly Cost VS I'!BA22="","",'Machine Fixed Monthly Cost VS I'!BA22)</f>
        <v>3318.14</v>
      </c>
      <c r="D284" s="207" t="str">
        <f>IF('Machine Fixed Monthly Cost VS I'!BB22="","",'Machine Fixed Monthly Cost VS I'!BB22)</f>
        <v/>
      </c>
      <c r="E284" s="209" t="str">
        <f>IF('Monthly Running Cost'!Z22="","",'Monthly Running Cost'!Z22)</f>
        <v/>
      </c>
    </row>
    <row r="285" spans="1:5" x14ac:dyDescent="0.3">
      <c r="E285" s="209"/>
    </row>
    <row r="286" spans="1:5" x14ac:dyDescent="0.3">
      <c r="A286" s="246" t="s">
        <v>232</v>
      </c>
      <c r="B286" s="246"/>
      <c r="C286" s="246"/>
      <c r="D286" s="246"/>
      <c r="E286" s="209"/>
    </row>
    <row r="287" spans="1:5" x14ac:dyDescent="0.3">
      <c r="A287" s="204" t="s">
        <v>199</v>
      </c>
      <c r="B287" s="205" t="s">
        <v>200</v>
      </c>
      <c r="C287" s="205" t="s">
        <v>201</v>
      </c>
      <c r="D287" s="206" t="s">
        <v>129</v>
      </c>
      <c r="E287" s="210" t="s">
        <v>248</v>
      </c>
    </row>
    <row r="288" spans="1:5" x14ac:dyDescent="0.3">
      <c r="A288" s="208" t="s">
        <v>202</v>
      </c>
      <c r="B288" s="207" t="str">
        <f>IF('Machine Fixed Monthly Cost VS I'!H23="","",'Machine Fixed Monthly Cost VS I'!H23)</f>
        <v/>
      </c>
      <c r="C288" s="207">
        <f>IF('Machine Fixed Monthly Cost VS I'!I23="","",'Machine Fixed Monthly Cost VS I'!I23)</f>
        <v>9419.17</v>
      </c>
      <c r="D288" s="207">
        <f>IF('Machine Fixed Monthly Cost VS I'!J23="","",'Machine Fixed Monthly Cost VS I'!J23)</f>
        <v>-9419.17</v>
      </c>
      <c r="E288" s="209">
        <f>IF('Monthly Running Cost'!D23="","",'Monthly Running Cost'!D23)</f>
        <v>2606.8200000000002</v>
      </c>
    </row>
    <row r="289" spans="1:5" x14ac:dyDescent="0.3">
      <c r="A289" s="208" t="s">
        <v>203</v>
      </c>
      <c r="B289" s="207" t="str">
        <f>IF('Machine Fixed Monthly Cost VS I'!L23="","",'Machine Fixed Monthly Cost VS I'!L23)</f>
        <v/>
      </c>
      <c r="C289" s="207">
        <f>IF('Machine Fixed Monthly Cost VS I'!M23="","",'Machine Fixed Monthly Cost VS I'!M23)</f>
        <v>18162.349999999999</v>
      </c>
      <c r="D289" s="207">
        <f>IF('Machine Fixed Monthly Cost VS I'!N23="","",'Machine Fixed Monthly Cost VS I'!N23)</f>
        <v>-18162.349999999999</v>
      </c>
      <c r="E289" s="209" t="str">
        <f>IF('Monthly Running Cost'!F23="","",'Monthly Running Cost'!F23)</f>
        <v/>
      </c>
    </row>
    <row r="290" spans="1:5" x14ac:dyDescent="0.3">
      <c r="A290" s="208" t="s">
        <v>204</v>
      </c>
      <c r="B290" s="207" t="str">
        <f>IF('Machine Fixed Monthly Cost VS I'!P23="","",'Machine Fixed Monthly Cost VS I'!P23)</f>
        <v/>
      </c>
      <c r="C290" s="207">
        <f>IF('Machine Fixed Monthly Cost VS I'!Q23="","",'Machine Fixed Monthly Cost VS I'!Q23)</f>
        <v>16339.3</v>
      </c>
      <c r="D290" s="207">
        <f>IF('Machine Fixed Monthly Cost VS I'!R23="","",'Machine Fixed Monthly Cost VS I'!R23)</f>
        <v>-16339.3</v>
      </c>
      <c r="E290" s="209" t="str">
        <f>IF('Monthly Running Cost'!H23="","",'Monthly Running Cost'!H23)</f>
        <v/>
      </c>
    </row>
    <row r="291" spans="1:5" x14ac:dyDescent="0.3">
      <c r="A291" s="208" t="s">
        <v>205</v>
      </c>
      <c r="B291" s="207" t="str">
        <f>IF('Machine Fixed Monthly Cost VS I'!T23="","",'Machine Fixed Monthly Cost VS I'!T23)</f>
        <v/>
      </c>
      <c r="C291" s="207">
        <f>IF('Machine Fixed Monthly Cost VS I'!U23="","",'Machine Fixed Monthly Cost VS I'!U23)</f>
        <v>16153.28</v>
      </c>
      <c r="D291" s="207">
        <f>IF('Machine Fixed Monthly Cost VS I'!V23="","",'Machine Fixed Monthly Cost VS I'!V23)</f>
        <v>-16153.28</v>
      </c>
      <c r="E291" s="209">
        <f>IF('Monthly Running Cost'!J23="","",'Monthly Running Cost'!J23)</f>
        <v>14399.210000000001</v>
      </c>
    </row>
    <row r="292" spans="1:5" x14ac:dyDescent="0.3">
      <c r="A292" s="208" t="s">
        <v>206</v>
      </c>
      <c r="B292" s="207" t="str">
        <f>IF('Machine Fixed Monthly Cost VS I'!X23="","",'Machine Fixed Monthly Cost VS I'!X23)</f>
        <v/>
      </c>
      <c r="C292" s="207">
        <f>IF('Machine Fixed Monthly Cost VS I'!Y23="","",'Machine Fixed Monthly Cost VS I'!Y23)</f>
        <v>17157.809999999998</v>
      </c>
      <c r="D292" s="207">
        <f>IF('Machine Fixed Monthly Cost VS I'!Z23="","",'Machine Fixed Monthly Cost VS I'!Z23)</f>
        <v>-17157.809999999998</v>
      </c>
      <c r="E292" s="209">
        <f>IF('Monthly Running Cost'!L23="","",'Monthly Running Cost'!L23)</f>
        <v>6402.19</v>
      </c>
    </row>
    <row r="293" spans="1:5" x14ac:dyDescent="0.3">
      <c r="A293" s="208" t="s">
        <v>207</v>
      </c>
      <c r="B293" s="207" t="str">
        <f>IF('Machine Fixed Monthly Cost VS I'!AB23="","",'Machine Fixed Monthly Cost VS I'!AB23)</f>
        <v/>
      </c>
      <c r="C293" s="207">
        <f>IF('Machine Fixed Monthly Cost VS I'!AC23="","",'Machine Fixed Monthly Cost VS I'!AC23)</f>
        <v>19204.09</v>
      </c>
      <c r="D293" s="207">
        <f>IF('Machine Fixed Monthly Cost VS I'!AD23="","",'Machine Fixed Monthly Cost VS I'!AD23)</f>
        <v>-19204.09</v>
      </c>
      <c r="E293" s="209">
        <f>IF('Monthly Running Cost'!N23="","",'Monthly Running Cost'!N23)</f>
        <v>47080.54</v>
      </c>
    </row>
    <row r="294" spans="1:5" x14ac:dyDescent="0.3">
      <c r="A294" s="208" t="s">
        <v>208</v>
      </c>
      <c r="B294" s="207" t="str">
        <f>IF('Machine Fixed Monthly Cost VS I'!AF23="","",'Machine Fixed Monthly Cost VS I'!AF23)</f>
        <v/>
      </c>
      <c r="C294" s="207">
        <f>IF('Machine Fixed Monthly Cost VS I'!AG23="","",'Machine Fixed Monthly Cost VS I'!AG23)</f>
        <v>17808.900000000001</v>
      </c>
      <c r="D294" s="207">
        <f>IF('Machine Fixed Monthly Cost VS I'!AH23="","",'Machine Fixed Monthly Cost VS I'!AH23)</f>
        <v>-17808.900000000001</v>
      </c>
      <c r="E294" s="209">
        <f>IF('Monthly Running Cost'!P23="","",'Monthly Running Cost'!P23)</f>
        <v>799.25</v>
      </c>
    </row>
    <row r="295" spans="1:5" x14ac:dyDescent="0.3">
      <c r="A295" s="208" t="s">
        <v>209</v>
      </c>
      <c r="B295" s="207" t="str">
        <f>IF('Machine Fixed Monthly Cost VS I'!AJ23="","",'Machine Fixed Monthly Cost VS I'!AJ23)</f>
        <v/>
      </c>
      <c r="C295" s="207">
        <f>IF('Machine Fixed Monthly Cost VS I'!AK23="","",'Machine Fixed Monthly Cost VS I'!AK23)</f>
        <v>18236.760000000002</v>
      </c>
      <c r="D295" s="207">
        <f>IF('Machine Fixed Monthly Cost VS I'!AL23="","",'Machine Fixed Monthly Cost VS I'!AL23)</f>
        <v>-18236.760000000002</v>
      </c>
      <c r="E295" s="209">
        <f>IF('Monthly Running Cost'!R23="","",'Monthly Running Cost'!R23)</f>
        <v>6402.19</v>
      </c>
    </row>
    <row r="296" spans="1:5" x14ac:dyDescent="0.3">
      <c r="A296" s="208" t="s">
        <v>210</v>
      </c>
      <c r="B296" s="207" t="str">
        <f>IF('Machine Fixed Monthly Cost VS I'!AN23="","",'Machine Fixed Monthly Cost VS I'!AN23)</f>
        <v/>
      </c>
      <c r="C296" s="207">
        <f>IF('Machine Fixed Monthly Cost VS I'!AO23="","",'Machine Fixed Monthly Cost VS I'!AO23)</f>
        <v>2871.09</v>
      </c>
      <c r="D296" s="207" t="str">
        <f>IF('Machine Fixed Monthly Cost VS I'!AP23="","",'Machine Fixed Monthly Cost VS I'!AP23)</f>
        <v/>
      </c>
      <c r="E296" s="209" t="str">
        <f>IF('Monthly Running Cost'!T23="","",'Monthly Running Cost'!T23)</f>
        <v/>
      </c>
    </row>
    <row r="297" spans="1:5" x14ac:dyDescent="0.3">
      <c r="A297" s="208" t="s">
        <v>211</v>
      </c>
      <c r="B297" s="207" t="str">
        <f>IF('Machine Fixed Monthly Cost VS I'!AR23="","",'Machine Fixed Monthly Cost VS I'!AR23)</f>
        <v/>
      </c>
      <c r="C297" s="207">
        <f>IF('Machine Fixed Monthly Cost VS I'!AS23="","",'Machine Fixed Monthly Cost VS I'!AS23)</f>
        <v>2871.09</v>
      </c>
      <c r="D297" s="207" t="str">
        <f>IF('Machine Fixed Monthly Cost VS I'!AT23="","",'Machine Fixed Monthly Cost VS I'!AT23)</f>
        <v/>
      </c>
      <c r="E297" s="209" t="str">
        <f>IF('Monthly Running Cost'!V23="","",'Monthly Running Cost'!V23)</f>
        <v/>
      </c>
    </row>
    <row r="298" spans="1:5" x14ac:dyDescent="0.3">
      <c r="A298" s="208" t="s">
        <v>212</v>
      </c>
      <c r="B298" s="207" t="str">
        <f>IF('Machine Fixed Monthly Cost VS I'!AV23="","",'Machine Fixed Monthly Cost VS I'!AV23)</f>
        <v/>
      </c>
      <c r="C298" s="207">
        <f>IF('Machine Fixed Monthly Cost VS I'!AW23="","",'Machine Fixed Monthly Cost VS I'!AW23)</f>
        <v>2871.09</v>
      </c>
      <c r="D298" s="207" t="str">
        <f>IF('Machine Fixed Monthly Cost VS I'!AX23="","",'Machine Fixed Monthly Cost VS I'!AX23)</f>
        <v/>
      </c>
      <c r="E298" s="209" t="str">
        <f>IF('Monthly Running Cost'!X23="","",'Monthly Running Cost'!X23)</f>
        <v/>
      </c>
    </row>
    <row r="299" spans="1:5" x14ac:dyDescent="0.3">
      <c r="A299" s="208" t="s">
        <v>213</v>
      </c>
      <c r="B299" s="207" t="str">
        <f>IF('Machine Fixed Monthly Cost VS I'!AZ23="","",'Machine Fixed Monthly Cost VS I'!AZ23)</f>
        <v/>
      </c>
      <c r="C299" s="207">
        <f>IF('Machine Fixed Monthly Cost VS I'!BA23="","",'Machine Fixed Monthly Cost VS I'!BA23)</f>
        <v>2871.09</v>
      </c>
      <c r="D299" s="207" t="str">
        <f>IF('Machine Fixed Monthly Cost VS I'!BB23="","",'Machine Fixed Monthly Cost VS I'!BB23)</f>
        <v/>
      </c>
      <c r="E299" s="209" t="str">
        <f>IF('Monthly Running Cost'!Z23="","",'Monthly Running Cost'!Z23)</f>
        <v/>
      </c>
    </row>
    <row r="300" spans="1:5" x14ac:dyDescent="0.3">
      <c r="E300" s="209"/>
    </row>
    <row r="301" spans="1:5" x14ac:dyDescent="0.3">
      <c r="A301" s="246" t="s">
        <v>233</v>
      </c>
      <c r="B301" s="246"/>
      <c r="C301" s="246"/>
      <c r="D301" s="246"/>
      <c r="E301" s="209"/>
    </row>
    <row r="302" spans="1:5" x14ac:dyDescent="0.3">
      <c r="A302" s="204" t="s">
        <v>199</v>
      </c>
      <c r="B302" s="205" t="s">
        <v>200</v>
      </c>
      <c r="C302" s="205" t="s">
        <v>201</v>
      </c>
      <c r="D302" s="206" t="s">
        <v>129</v>
      </c>
      <c r="E302" s="210" t="s">
        <v>248</v>
      </c>
    </row>
    <row r="303" spans="1:5" x14ac:dyDescent="0.3">
      <c r="A303" s="208" t="s">
        <v>202</v>
      </c>
      <c r="B303" s="207" t="str">
        <f>IF('Machine Fixed Monthly Cost VS I'!H24="","",'Machine Fixed Monthly Cost VS I'!H24)</f>
        <v/>
      </c>
      <c r="C303" s="207">
        <f>IF('Machine Fixed Monthly Cost VS I'!I24="","",'Machine Fixed Monthly Cost VS I'!I24)</f>
        <v>20125</v>
      </c>
      <c r="D303" s="207">
        <f>IF('Machine Fixed Monthly Cost VS I'!J24="","",'Machine Fixed Monthly Cost VS I'!J24)</f>
        <v>-20125</v>
      </c>
      <c r="E303" s="209" t="str">
        <f>IF('Monthly Running Cost'!D24="","",'Monthly Running Cost'!D24)</f>
        <v/>
      </c>
    </row>
    <row r="304" spans="1:5" x14ac:dyDescent="0.3">
      <c r="A304" s="208" t="s">
        <v>203</v>
      </c>
      <c r="B304" s="207" t="str">
        <f>IF('Machine Fixed Monthly Cost VS I'!L24="","",'Machine Fixed Monthly Cost VS I'!L24)</f>
        <v/>
      </c>
      <c r="C304" s="207">
        <f>IF('Machine Fixed Monthly Cost VS I'!M24="","",'Machine Fixed Monthly Cost VS I'!M24)</f>
        <v>20125</v>
      </c>
      <c r="D304" s="207">
        <f>IF('Machine Fixed Monthly Cost VS I'!N24="","",'Machine Fixed Monthly Cost VS I'!N24)</f>
        <v>-20125</v>
      </c>
      <c r="E304" s="209" t="str">
        <f>IF('Monthly Running Cost'!F24="","",'Monthly Running Cost'!F24)</f>
        <v/>
      </c>
    </row>
    <row r="305" spans="1:5" x14ac:dyDescent="0.3">
      <c r="A305" s="208" t="s">
        <v>204</v>
      </c>
      <c r="B305" s="207" t="str">
        <f>IF('Machine Fixed Monthly Cost VS I'!P24="","",'Machine Fixed Monthly Cost VS I'!P24)</f>
        <v/>
      </c>
      <c r="C305" s="207">
        <f>IF('Machine Fixed Monthly Cost VS I'!Q24="","",'Machine Fixed Monthly Cost VS I'!Q24)</f>
        <v>20125</v>
      </c>
      <c r="D305" s="207">
        <f>IF('Machine Fixed Monthly Cost VS I'!R24="","",'Machine Fixed Monthly Cost VS I'!R24)</f>
        <v>-20125</v>
      </c>
      <c r="E305" s="209" t="str">
        <f>IF('Monthly Running Cost'!H24="","",'Monthly Running Cost'!H24)</f>
        <v/>
      </c>
    </row>
    <row r="306" spans="1:5" x14ac:dyDescent="0.3">
      <c r="A306" s="208" t="s">
        <v>205</v>
      </c>
      <c r="B306" s="207" t="str">
        <f>IF('Machine Fixed Monthly Cost VS I'!T24="","",'Machine Fixed Monthly Cost VS I'!T24)</f>
        <v/>
      </c>
      <c r="C306" s="207">
        <f>IF('Machine Fixed Monthly Cost VS I'!U24="","",'Machine Fixed Monthly Cost VS I'!U24)</f>
        <v>20125</v>
      </c>
      <c r="D306" s="207">
        <f>IF('Machine Fixed Monthly Cost VS I'!V24="","",'Machine Fixed Monthly Cost VS I'!V24)</f>
        <v>-20125</v>
      </c>
      <c r="E306" s="209" t="str">
        <f>IF('Monthly Running Cost'!J24="","",'Monthly Running Cost'!J24)</f>
        <v/>
      </c>
    </row>
    <row r="307" spans="1:5" x14ac:dyDescent="0.3">
      <c r="A307" s="208" t="s">
        <v>206</v>
      </c>
      <c r="B307" s="207" t="str">
        <f>IF('Machine Fixed Monthly Cost VS I'!X24="","",'Machine Fixed Monthly Cost VS I'!X24)</f>
        <v/>
      </c>
      <c r="C307" s="207">
        <f>IF('Machine Fixed Monthly Cost VS I'!Y24="","",'Machine Fixed Monthly Cost VS I'!Y24)</f>
        <v>20125</v>
      </c>
      <c r="D307" s="207">
        <f>IF('Machine Fixed Monthly Cost VS I'!Z24="","",'Machine Fixed Monthly Cost VS I'!Z24)</f>
        <v>-20125</v>
      </c>
      <c r="E307" s="209" t="str">
        <f>IF('Monthly Running Cost'!L24="","",'Monthly Running Cost'!L24)</f>
        <v/>
      </c>
    </row>
    <row r="308" spans="1:5" x14ac:dyDescent="0.3">
      <c r="A308" s="208" t="s">
        <v>207</v>
      </c>
      <c r="B308" s="207" t="str">
        <f>IF('Machine Fixed Monthly Cost VS I'!AB24="","",'Machine Fixed Monthly Cost VS I'!AB24)</f>
        <v/>
      </c>
      <c r="C308" s="207">
        <f>IF('Machine Fixed Monthly Cost VS I'!AC24="","",'Machine Fixed Monthly Cost VS I'!AC24)</f>
        <v>20125</v>
      </c>
      <c r="D308" s="207">
        <f>IF('Machine Fixed Monthly Cost VS I'!AD24="","",'Machine Fixed Monthly Cost VS I'!AD24)</f>
        <v>-20125</v>
      </c>
      <c r="E308" s="209" t="str">
        <f>IF('Monthly Running Cost'!N24="","",'Monthly Running Cost'!N24)</f>
        <v/>
      </c>
    </row>
    <row r="309" spans="1:5" x14ac:dyDescent="0.3">
      <c r="A309" s="208" t="s">
        <v>208</v>
      </c>
      <c r="B309" s="207" t="str">
        <f>IF('Machine Fixed Monthly Cost VS I'!AF24="","",'Machine Fixed Monthly Cost VS I'!AF24)</f>
        <v/>
      </c>
      <c r="C309" s="207">
        <f>IF('Machine Fixed Monthly Cost VS I'!AG24="","",'Machine Fixed Monthly Cost VS I'!AG24)</f>
        <v>20125</v>
      </c>
      <c r="D309" s="207">
        <f>IF('Machine Fixed Monthly Cost VS I'!AH24="","",'Machine Fixed Monthly Cost VS I'!AH24)</f>
        <v>-20125</v>
      </c>
      <c r="E309" s="209" t="str">
        <f>IF('Monthly Running Cost'!P24="","",'Monthly Running Cost'!P24)</f>
        <v/>
      </c>
    </row>
    <row r="310" spans="1:5" x14ac:dyDescent="0.3">
      <c r="A310" s="208" t="s">
        <v>209</v>
      </c>
      <c r="B310" s="207" t="str">
        <f>IF('Machine Fixed Monthly Cost VS I'!AJ24="","",'Machine Fixed Monthly Cost VS I'!AJ24)</f>
        <v/>
      </c>
      <c r="C310" s="207">
        <f>IF('Machine Fixed Monthly Cost VS I'!AK24="","",'Machine Fixed Monthly Cost VS I'!AK24)</f>
        <v>20125</v>
      </c>
      <c r="D310" s="207">
        <f>IF('Machine Fixed Monthly Cost VS I'!AL24="","",'Machine Fixed Monthly Cost VS I'!AL24)</f>
        <v>-20125</v>
      </c>
      <c r="E310" s="209" t="str">
        <f>IF('Monthly Running Cost'!R24="","",'Monthly Running Cost'!R24)</f>
        <v/>
      </c>
    </row>
    <row r="311" spans="1:5" x14ac:dyDescent="0.3">
      <c r="A311" s="208" t="s">
        <v>210</v>
      </c>
      <c r="B311" s="207" t="str">
        <f>IF('Machine Fixed Monthly Cost VS I'!AN24="","",'Machine Fixed Monthly Cost VS I'!AN24)</f>
        <v/>
      </c>
      <c r="C311" s="207">
        <f>IF('Machine Fixed Monthly Cost VS I'!AO24="","",'Machine Fixed Monthly Cost VS I'!AO24)</f>
        <v>20125</v>
      </c>
      <c r="D311" s="207" t="str">
        <f>IF('Machine Fixed Monthly Cost VS I'!AP24="","",'Machine Fixed Monthly Cost VS I'!AP24)</f>
        <v/>
      </c>
      <c r="E311" s="209" t="str">
        <f>IF('Monthly Running Cost'!T24="","",'Monthly Running Cost'!T24)</f>
        <v/>
      </c>
    </row>
    <row r="312" spans="1:5" x14ac:dyDescent="0.3">
      <c r="A312" s="208" t="s">
        <v>211</v>
      </c>
      <c r="B312" s="207" t="str">
        <f>IF('Machine Fixed Monthly Cost VS I'!AR24="","",'Machine Fixed Monthly Cost VS I'!AR24)</f>
        <v/>
      </c>
      <c r="C312" s="207">
        <f>IF('Machine Fixed Monthly Cost VS I'!AS24="","",'Machine Fixed Monthly Cost VS I'!AS24)</f>
        <v>20125</v>
      </c>
      <c r="D312" s="207" t="str">
        <f>IF('Machine Fixed Monthly Cost VS I'!AT24="","",'Machine Fixed Monthly Cost VS I'!AT24)</f>
        <v/>
      </c>
      <c r="E312" s="209" t="str">
        <f>IF('Monthly Running Cost'!V24="","",'Monthly Running Cost'!V24)</f>
        <v/>
      </c>
    </row>
    <row r="313" spans="1:5" x14ac:dyDescent="0.3">
      <c r="A313" s="208" t="s">
        <v>212</v>
      </c>
      <c r="B313" s="207" t="str">
        <f>IF('Machine Fixed Monthly Cost VS I'!AV24="","",'Machine Fixed Monthly Cost VS I'!AV24)</f>
        <v/>
      </c>
      <c r="C313" s="207">
        <f>IF('Machine Fixed Monthly Cost VS I'!AW24="","",'Machine Fixed Monthly Cost VS I'!AW24)</f>
        <v>20125</v>
      </c>
      <c r="D313" s="207" t="str">
        <f>IF('Machine Fixed Monthly Cost VS I'!AX24="","",'Machine Fixed Monthly Cost VS I'!AX24)</f>
        <v/>
      </c>
      <c r="E313" s="209" t="str">
        <f>IF('Monthly Running Cost'!X24="","",'Monthly Running Cost'!X24)</f>
        <v/>
      </c>
    </row>
    <row r="314" spans="1:5" x14ac:dyDescent="0.3">
      <c r="A314" s="208" t="s">
        <v>213</v>
      </c>
      <c r="B314" s="207" t="str">
        <f>IF('Machine Fixed Monthly Cost VS I'!AZ24="","",'Machine Fixed Monthly Cost VS I'!AZ24)</f>
        <v/>
      </c>
      <c r="C314" s="207">
        <f>IF('Machine Fixed Monthly Cost VS I'!BA24="","",'Machine Fixed Monthly Cost VS I'!BA24)</f>
        <v>20125</v>
      </c>
      <c r="D314" s="207" t="str">
        <f>IF('Machine Fixed Monthly Cost VS I'!BB24="","",'Machine Fixed Monthly Cost VS I'!BB24)</f>
        <v/>
      </c>
      <c r="E314" s="209" t="str">
        <f>IF('Monthly Running Cost'!Z24="","",'Monthly Running Cost'!Z24)</f>
        <v/>
      </c>
    </row>
    <row r="315" spans="1:5" x14ac:dyDescent="0.3">
      <c r="E315" s="209"/>
    </row>
    <row r="316" spans="1:5" x14ac:dyDescent="0.3">
      <c r="A316" s="246" t="s">
        <v>42</v>
      </c>
      <c r="B316" s="246"/>
      <c r="C316" s="246"/>
      <c r="D316" s="246"/>
      <c r="E316" s="209"/>
    </row>
    <row r="317" spans="1:5" x14ac:dyDescent="0.3">
      <c r="A317" s="204" t="s">
        <v>199</v>
      </c>
      <c r="B317" s="205" t="s">
        <v>200</v>
      </c>
      <c r="C317" s="205" t="s">
        <v>201</v>
      </c>
      <c r="D317" s="206" t="s">
        <v>129</v>
      </c>
      <c r="E317" s="210" t="s">
        <v>248</v>
      </c>
    </row>
    <row r="318" spans="1:5" x14ac:dyDescent="0.3">
      <c r="A318" s="208" t="s">
        <v>202</v>
      </c>
      <c r="B318" s="207" t="str">
        <f>IF('Machine Fixed Monthly Cost VS I'!H25="","",'Machine Fixed Monthly Cost VS I'!H25)</f>
        <v/>
      </c>
      <c r="C318" s="207">
        <f>IF('Machine Fixed Monthly Cost VS I'!I25="","",'Machine Fixed Monthly Cost VS I'!I25)</f>
        <v>1677.083333333333</v>
      </c>
      <c r="D318" s="207">
        <f>IF('Machine Fixed Monthly Cost VS I'!J25="","",'Machine Fixed Monthly Cost VS I'!J25)</f>
        <v>-1677.083333333333</v>
      </c>
      <c r="E318" s="209" t="str">
        <f>IF('Monthly Running Cost'!D25="","",'Monthly Running Cost'!D25)</f>
        <v/>
      </c>
    </row>
    <row r="319" spans="1:5" x14ac:dyDescent="0.3">
      <c r="A319" s="208" t="s">
        <v>203</v>
      </c>
      <c r="B319" s="207" t="str">
        <f>IF('Machine Fixed Monthly Cost VS I'!L25="","",'Machine Fixed Monthly Cost VS I'!L25)</f>
        <v/>
      </c>
      <c r="C319" s="207">
        <f>IF('Machine Fixed Monthly Cost VS I'!M25="","",'Machine Fixed Monthly Cost VS I'!M25)</f>
        <v>1677.083333333333</v>
      </c>
      <c r="D319" s="207">
        <f>IF('Machine Fixed Monthly Cost VS I'!N25="","",'Machine Fixed Monthly Cost VS I'!N25)</f>
        <v>-1677.083333333333</v>
      </c>
      <c r="E319" s="209" t="str">
        <f>IF('Monthly Running Cost'!F25="","",'Monthly Running Cost'!F25)</f>
        <v/>
      </c>
    </row>
    <row r="320" spans="1:5" x14ac:dyDescent="0.3">
      <c r="A320" s="208" t="s">
        <v>204</v>
      </c>
      <c r="B320" s="207" t="str">
        <f>IF('Machine Fixed Monthly Cost VS I'!P25="","",'Machine Fixed Monthly Cost VS I'!P25)</f>
        <v/>
      </c>
      <c r="C320" s="207">
        <f>IF('Machine Fixed Monthly Cost VS I'!Q25="","",'Machine Fixed Monthly Cost VS I'!Q25)</f>
        <v>1677.083333333333</v>
      </c>
      <c r="D320" s="207">
        <f>IF('Machine Fixed Monthly Cost VS I'!R25="","",'Machine Fixed Monthly Cost VS I'!R25)</f>
        <v>-1677.083333333333</v>
      </c>
      <c r="E320" s="209" t="str">
        <f>IF('Monthly Running Cost'!H25="","",'Monthly Running Cost'!H25)</f>
        <v/>
      </c>
    </row>
    <row r="321" spans="1:5" x14ac:dyDescent="0.3">
      <c r="A321" s="208" t="s">
        <v>205</v>
      </c>
      <c r="B321" s="207" t="str">
        <f>IF('Machine Fixed Monthly Cost VS I'!T25="","",'Machine Fixed Monthly Cost VS I'!T25)</f>
        <v/>
      </c>
      <c r="C321" s="207">
        <f>IF('Machine Fixed Monthly Cost VS I'!U25="","",'Machine Fixed Monthly Cost VS I'!U25)</f>
        <v>1677.083333333333</v>
      </c>
      <c r="D321" s="207">
        <f>IF('Machine Fixed Monthly Cost VS I'!V25="","",'Machine Fixed Monthly Cost VS I'!V25)</f>
        <v>-1677.083333333333</v>
      </c>
      <c r="E321" s="209" t="str">
        <f>IF('Monthly Running Cost'!J25="","",'Monthly Running Cost'!J25)</f>
        <v/>
      </c>
    </row>
    <row r="322" spans="1:5" x14ac:dyDescent="0.3">
      <c r="A322" s="208" t="s">
        <v>206</v>
      </c>
      <c r="B322" s="207" t="str">
        <f>IF('Machine Fixed Monthly Cost VS I'!X25="","",'Machine Fixed Monthly Cost VS I'!X25)</f>
        <v/>
      </c>
      <c r="C322" s="207">
        <f>IF('Machine Fixed Monthly Cost VS I'!Y25="","",'Machine Fixed Monthly Cost VS I'!Y25)</f>
        <v>1677.083333333333</v>
      </c>
      <c r="D322" s="207">
        <f>IF('Machine Fixed Monthly Cost VS I'!Z25="","",'Machine Fixed Monthly Cost VS I'!Z25)</f>
        <v>-1677.083333333333</v>
      </c>
      <c r="E322" s="209" t="str">
        <f>IF('Monthly Running Cost'!L25="","",'Monthly Running Cost'!L25)</f>
        <v/>
      </c>
    </row>
    <row r="323" spans="1:5" x14ac:dyDescent="0.3">
      <c r="A323" s="208" t="s">
        <v>207</v>
      </c>
      <c r="B323" s="207" t="str">
        <f>IF('Machine Fixed Monthly Cost VS I'!AB25="","",'Machine Fixed Monthly Cost VS I'!AB25)</f>
        <v/>
      </c>
      <c r="C323" s="207">
        <f>IF('Machine Fixed Monthly Cost VS I'!AC25="","",'Machine Fixed Monthly Cost VS I'!AC25)</f>
        <v>1677.083333333333</v>
      </c>
      <c r="D323" s="207">
        <f>IF('Machine Fixed Monthly Cost VS I'!AD25="","",'Machine Fixed Monthly Cost VS I'!AD25)</f>
        <v>-1677.083333333333</v>
      </c>
      <c r="E323" s="209" t="str">
        <f>IF('Monthly Running Cost'!N25="","",'Monthly Running Cost'!N25)</f>
        <v/>
      </c>
    </row>
    <row r="324" spans="1:5" x14ac:dyDescent="0.3">
      <c r="A324" s="208" t="s">
        <v>208</v>
      </c>
      <c r="B324" s="207" t="str">
        <f>IF('Machine Fixed Monthly Cost VS I'!AF25="","",'Machine Fixed Monthly Cost VS I'!AF25)</f>
        <v/>
      </c>
      <c r="C324" s="207">
        <f>IF('Machine Fixed Monthly Cost VS I'!AG25="","",'Machine Fixed Monthly Cost VS I'!AG25)</f>
        <v>1677.083333333333</v>
      </c>
      <c r="D324" s="207">
        <f>IF('Machine Fixed Monthly Cost VS I'!AH25="","",'Machine Fixed Monthly Cost VS I'!AH25)</f>
        <v>-1677.083333333333</v>
      </c>
      <c r="E324" s="209" t="str">
        <f>IF('Monthly Running Cost'!P25="","",'Monthly Running Cost'!P25)</f>
        <v/>
      </c>
    </row>
    <row r="325" spans="1:5" x14ac:dyDescent="0.3">
      <c r="A325" s="208" t="s">
        <v>209</v>
      </c>
      <c r="B325" s="207" t="str">
        <f>IF('Machine Fixed Monthly Cost VS I'!AJ25="","",'Machine Fixed Monthly Cost VS I'!AJ25)</f>
        <v/>
      </c>
      <c r="C325" s="207">
        <f>IF('Machine Fixed Monthly Cost VS I'!AK25="","",'Machine Fixed Monthly Cost VS I'!AK25)</f>
        <v>1677.083333333333</v>
      </c>
      <c r="D325" s="207">
        <f>IF('Machine Fixed Monthly Cost VS I'!AL25="","",'Machine Fixed Monthly Cost VS I'!AL25)</f>
        <v>-1677.083333333333</v>
      </c>
      <c r="E325" s="209" t="str">
        <f>IF('Monthly Running Cost'!R25="","",'Monthly Running Cost'!R25)</f>
        <v/>
      </c>
    </row>
    <row r="326" spans="1:5" x14ac:dyDescent="0.3">
      <c r="A326" s="208" t="s">
        <v>210</v>
      </c>
      <c r="B326" s="207" t="str">
        <f>IF('Machine Fixed Monthly Cost VS I'!AN25="","",'Machine Fixed Monthly Cost VS I'!AN25)</f>
        <v/>
      </c>
      <c r="C326" s="207">
        <f>IF('Machine Fixed Monthly Cost VS I'!AO25="","",'Machine Fixed Monthly Cost VS I'!AO25)</f>
        <v>1677.083333333333</v>
      </c>
      <c r="D326" s="207" t="str">
        <f>IF('Machine Fixed Monthly Cost VS I'!AP25="","",'Machine Fixed Monthly Cost VS I'!AP25)</f>
        <v/>
      </c>
      <c r="E326" s="209" t="str">
        <f>IF('Monthly Running Cost'!T25="","",'Monthly Running Cost'!T25)</f>
        <v/>
      </c>
    </row>
    <row r="327" spans="1:5" x14ac:dyDescent="0.3">
      <c r="A327" s="208" t="s">
        <v>211</v>
      </c>
      <c r="B327" s="207" t="str">
        <f>IF('Machine Fixed Monthly Cost VS I'!AR25="","",'Machine Fixed Monthly Cost VS I'!AR25)</f>
        <v/>
      </c>
      <c r="C327" s="207">
        <f>IF('Machine Fixed Monthly Cost VS I'!AS25="","",'Machine Fixed Monthly Cost VS I'!AS25)</f>
        <v>1677.083333333333</v>
      </c>
      <c r="D327" s="207" t="str">
        <f>IF('Machine Fixed Monthly Cost VS I'!AT25="","",'Machine Fixed Monthly Cost VS I'!AT25)</f>
        <v/>
      </c>
      <c r="E327" s="209" t="str">
        <f>IF('Monthly Running Cost'!V25="","",'Monthly Running Cost'!V25)</f>
        <v/>
      </c>
    </row>
    <row r="328" spans="1:5" x14ac:dyDescent="0.3">
      <c r="A328" s="208" t="s">
        <v>212</v>
      </c>
      <c r="B328" s="207" t="str">
        <f>IF('Machine Fixed Monthly Cost VS I'!AV25="","",'Machine Fixed Monthly Cost VS I'!AV25)</f>
        <v/>
      </c>
      <c r="C328" s="207">
        <f>IF('Machine Fixed Monthly Cost VS I'!AW25="","",'Machine Fixed Monthly Cost VS I'!AW25)</f>
        <v>1677.083333333333</v>
      </c>
      <c r="D328" s="207" t="str">
        <f>IF('Machine Fixed Monthly Cost VS I'!AX25="","",'Machine Fixed Monthly Cost VS I'!AX25)</f>
        <v/>
      </c>
      <c r="E328" s="209" t="str">
        <f>IF('Monthly Running Cost'!X25="","",'Monthly Running Cost'!X25)</f>
        <v/>
      </c>
    </row>
    <row r="329" spans="1:5" x14ac:dyDescent="0.3">
      <c r="A329" s="208" t="s">
        <v>213</v>
      </c>
      <c r="B329" s="207" t="str">
        <f>IF('Machine Fixed Monthly Cost VS I'!AZ25="","",'Machine Fixed Monthly Cost VS I'!AZ25)</f>
        <v/>
      </c>
      <c r="C329" s="207">
        <f>IF('Machine Fixed Monthly Cost VS I'!BA25="","",'Machine Fixed Monthly Cost VS I'!BA25)</f>
        <v>1677.083333333333</v>
      </c>
      <c r="D329" s="207" t="str">
        <f>IF('Machine Fixed Monthly Cost VS I'!BB25="","",'Machine Fixed Monthly Cost VS I'!BB25)</f>
        <v/>
      </c>
      <c r="E329" s="209" t="str">
        <f>IF('Monthly Running Cost'!Z25="","",'Monthly Running Cost'!Z25)</f>
        <v/>
      </c>
    </row>
    <row r="330" spans="1:5" x14ac:dyDescent="0.3">
      <c r="E330" s="209"/>
    </row>
    <row r="331" spans="1:5" x14ac:dyDescent="0.3">
      <c r="A331" s="246" t="s">
        <v>44</v>
      </c>
      <c r="B331" s="246"/>
      <c r="C331" s="246"/>
      <c r="D331" s="246"/>
      <c r="E331" s="209"/>
    </row>
    <row r="332" spans="1:5" x14ac:dyDescent="0.3">
      <c r="A332" s="204" t="s">
        <v>199</v>
      </c>
      <c r="B332" s="205" t="s">
        <v>200</v>
      </c>
      <c r="C332" s="205" t="s">
        <v>201</v>
      </c>
      <c r="D332" s="206" t="s">
        <v>129</v>
      </c>
      <c r="E332" s="210" t="s">
        <v>248</v>
      </c>
    </row>
    <row r="333" spans="1:5" x14ac:dyDescent="0.3">
      <c r="A333" s="208" t="s">
        <v>202</v>
      </c>
      <c r="B333" s="207" t="str">
        <f>IF('Machine Fixed Monthly Cost VS I'!H26="","",'Machine Fixed Monthly Cost VS I'!H26)</f>
        <v/>
      </c>
      <c r="C333" s="207">
        <f>IF('Machine Fixed Monthly Cost VS I'!I26="","",'Machine Fixed Monthly Cost VS I'!I26)</f>
        <v>637.29166666666663</v>
      </c>
      <c r="D333" s="207">
        <f>IF('Machine Fixed Monthly Cost VS I'!J26="","",'Machine Fixed Monthly Cost VS I'!J26)</f>
        <v>-637.29166666666663</v>
      </c>
      <c r="E333" s="209" t="str">
        <f>IF('Monthly Running Cost'!D26="","",'Monthly Running Cost'!D26)</f>
        <v/>
      </c>
    </row>
    <row r="334" spans="1:5" x14ac:dyDescent="0.3">
      <c r="A334" s="208" t="s">
        <v>203</v>
      </c>
      <c r="B334" s="207" t="str">
        <f>IF('Machine Fixed Monthly Cost VS I'!L26="","",'Machine Fixed Monthly Cost VS I'!L26)</f>
        <v/>
      </c>
      <c r="C334" s="207">
        <f>IF('Machine Fixed Monthly Cost VS I'!M26="","",'Machine Fixed Monthly Cost VS I'!M26)</f>
        <v>637.29166666666663</v>
      </c>
      <c r="D334" s="207">
        <f>IF('Machine Fixed Monthly Cost VS I'!N26="","",'Machine Fixed Monthly Cost VS I'!N26)</f>
        <v>-637.29166666666663</v>
      </c>
      <c r="E334" s="209" t="str">
        <f>IF('Monthly Running Cost'!F26="","",'Monthly Running Cost'!F26)</f>
        <v/>
      </c>
    </row>
    <row r="335" spans="1:5" x14ac:dyDescent="0.3">
      <c r="A335" s="208" t="s">
        <v>204</v>
      </c>
      <c r="B335" s="207" t="str">
        <f>IF('Machine Fixed Monthly Cost VS I'!P26="","",'Machine Fixed Monthly Cost VS I'!P26)</f>
        <v/>
      </c>
      <c r="C335" s="207">
        <f>IF('Machine Fixed Monthly Cost VS I'!Q26="","",'Machine Fixed Monthly Cost VS I'!Q26)</f>
        <v>637.29166666666663</v>
      </c>
      <c r="D335" s="207">
        <f>IF('Machine Fixed Monthly Cost VS I'!R26="","",'Machine Fixed Monthly Cost VS I'!R26)</f>
        <v>-637.29166666666663</v>
      </c>
      <c r="E335" s="209" t="str">
        <f>IF('Monthly Running Cost'!H26="","",'Monthly Running Cost'!H26)</f>
        <v/>
      </c>
    </row>
    <row r="336" spans="1:5" x14ac:dyDescent="0.3">
      <c r="A336" s="208" t="s">
        <v>205</v>
      </c>
      <c r="B336" s="207" t="str">
        <f>IF('Machine Fixed Monthly Cost VS I'!T26="","",'Machine Fixed Monthly Cost VS I'!T26)</f>
        <v/>
      </c>
      <c r="C336" s="207">
        <f>IF('Machine Fixed Monthly Cost VS I'!U26="","",'Machine Fixed Monthly Cost VS I'!U26)</f>
        <v>637.29166666666663</v>
      </c>
      <c r="D336" s="207">
        <f>IF('Machine Fixed Monthly Cost VS I'!V26="","",'Machine Fixed Monthly Cost VS I'!V26)</f>
        <v>-637.29166666666663</v>
      </c>
      <c r="E336" s="209" t="str">
        <f>IF('Monthly Running Cost'!J26="","",'Monthly Running Cost'!J26)</f>
        <v/>
      </c>
    </row>
    <row r="337" spans="1:5" x14ac:dyDescent="0.3">
      <c r="A337" s="208" t="s">
        <v>206</v>
      </c>
      <c r="B337" s="207" t="str">
        <f>IF('Machine Fixed Monthly Cost VS I'!X26="","",'Machine Fixed Monthly Cost VS I'!X26)</f>
        <v/>
      </c>
      <c r="C337" s="207">
        <f>IF('Machine Fixed Monthly Cost VS I'!Y26="","",'Machine Fixed Monthly Cost VS I'!Y26)</f>
        <v>637.29166666666663</v>
      </c>
      <c r="D337" s="207">
        <f>IF('Machine Fixed Monthly Cost VS I'!Z26="","",'Machine Fixed Monthly Cost VS I'!Z26)</f>
        <v>-637.29166666666663</v>
      </c>
      <c r="E337" s="209" t="str">
        <f>IF('Monthly Running Cost'!L26="","",'Monthly Running Cost'!L26)</f>
        <v/>
      </c>
    </row>
    <row r="338" spans="1:5" x14ac:dyDescent="0.3">
      <c r="A338" s="208" t="s">
        <v>207</v>
      </c>
      <c r="B338" s="207" t="str">
        <f>IF('Machine Fixed Monthly Cost VS I'!AB26="","",'Machine Fixed Monthly Cost VS I'!AB26)</f>
        <v/>
      </c>
      <c r="C338" s="207">
        <f>IF('Machine Fixed Monthly Cost VS I'!AC26="","",'Machine Fixed Monthly Cost VS I'!AC26)</f>
        <v>637.29166666666663</v>
      </c>
      <c r="D338" s="207">
        <f>IF('Machine Fixed Monthly Cost VS I'!AD26="","",'Machine Fixed Monthly Cost VS I'!AD26)</f>
        <v>-637.29166666666663</v>
      </c>
      <c r="E338" s="209" t="str">
        <f>IF('Monthly Running Cost'!N26="","",'Monthly Running Cost'!N26)</f>
        <v/>
      </c>
    </row>
    <row r="339" spans="1:5" x14ac:dyDescent="0.3">
      <c r="A339" s="208" t="s">
        <v>208</v>
      </c>
      <c r="B339" s="207" t="str">
        <f>IF('Machine Fixed Monthly Cost VS I'!AF26="","",'Machine Fixed Monthly Cost VS I'!AF26)</f>
        <v/>
      </c>
      <c r="C339" s="207">
        <f>IF('Machine Fixed Monthly Cost VS I'!AG26="","",'Machine Fixed Monthly Cost VS I'!AG26)</f>
        <v>637.29166666666663</v>
      </c>
      <c r="D339" s="207">
        <f>IF('Machine Fixed Monthly Cost VS I'!AH26="","",'Machine Fixed Monthly Cost VS I'!AH26)</f>
        <v>-637.29166666666663</v>
      </c>
      <c r="E339" s="209" t="str">
        <f>IF('Monthly Running Cost'!P26="","",'Monthly Running Cost'!P26)</f>
        <v/>
      </c>
    </row>
    <row r="340" spans="1:5" x14ac:dyDescent="0.3">
      <c r="A340" s="208" t="s">
        <v>209</v>
      </c>
      <c r="B340" s="207" t="str">
        <f>IF('Machine Fixed Monthly Cost VS I'!AJ26="","",'Machine Fixed Monthly Cost VS I'!AJ26)</f>
        <v/>
      </c>
      <c r="C340" s="207">
        <f>IF('Machine Fixed Monthly Cost VS I'!AK26="","",'Machine Fixed Monthly Cost VS I'!AK26)</f>
        <v>637.29166666666663</v>
      </c>
      <c r="D340" s="207">
        <f>IF('Machine Fixed Monthly Cost VS I'!AL26="","",'Machine Fixed Monthly Cost VS I'!AL26)</f>
        <v>-637.29166666666663</v>
      </c>
      <c r="E340" s="209" t="str">
        <f>IF('Monthly Running Cost'!R26="","",'Monthly Running Cost'!R26)</f>
        <v/>
      </c>
    </row>
    <row r="341" spans="1:5" x14ac:dyDescent="0.3">
      <c r="A341" s="208" t="s">
        <v>210</v>
      </c>
      <c r="B341" s="207" t="str">
        <f>IF('Machine Fixed Monthly Cost VS I'!AN26="","",'Machine Fixed Monthly Cost VS I'!AN26)</f>
        <v/>
      </c>
      <c r="C341" s="207">
        <f>IF('Machine Fixed Monthly Cost VS I'!AO26="","",'Machine Fixed Monthly Cost VS I'!AO26)</f>
        <v>637.29166666666663</v>
      </c>
      <c r="D341" s="207" t="str">
        <f>IF('Machine Fixed Monthly Cost VS I'!AP26="","",'Machine Fixed Monthly Cost VS I'!AP26)</f>
        <v/>
      </c>
      <c r="E341" s="209" t="str">
        <f>IF('Monthly Running Cost'!T26="","",'Monthly Running Cost'!T26)</f>
        <v/>
      </c>
    </row>
    <row r="342" spans="1:5" x14ac:dyDescent="0.3">
      <c r="A342" s="208" t="s">
        <v>211</v>
      </c>
      <c r="B342" s="207" t="str">
        <f>IF('Machine Fixed Monthly Cost VS I'!AR26="","",'Machine Fixed Monthly Cost VS I'!AR26)</f>
        <v/>
      </c>
      <c r="C342" s="207">
        <f>IF('Machine Fixed Monthly Cost VS I'!AS26="","",'Machine Fixed Monthly Cost VS I'!AS26)</f>
        <v>637.29166666666663</v>
      </c>
      <c r="D342" s="207" t="str">
        <f>IF('Machine Fixed Monthly Cost VS I'!AT26="","",'Machine Fixed Monthly Cost VS I'!AT26)</f>
        <v/>
      </c>
      <c r="E342" s="209" t="str">
        <f>IF('Monthly Running Cost'!V26="","",'Monthly Running Cost'!V26)</f>
        <v/>
      </c>
    </row>
    <row r="343" spans="1:5" x14ac:dyDescent="0.3">
      <c r="A343" s="208" t="s">
        <v>212</v>
      </c>
      <c r="B343" s="207" t="str">
        <f>IF('Machine Fixed Monthly Cost VS I'!AV26="","",'Machine Fixed Monthly Cost VS I'!AV26)</f>
        <v/>
      </c>
      <c r="C343" s="207">
        <f>IF('Machine Fixed Monthly Cost VS I'!AW26="","",'Machine Fixed Monthly Cost VS I'!AW26)</f>
        <v>637.29166666666663</v>
      </c>
      <c r="D343" s="207" t="str">
        <f>IF('Machine Fixed Monthly Cost VS I'!AX26="","",'Machine Fixed Monthly Cost VS I'!AX26)</f>
        <v/>
      </c>
      <c r="E343" s="209" t="str">
        <f>IF('Monthly Running Cost'!X26="","",'Monthly Running Cost'!X26)</f>
        <v/>
      </c>
    </row>
    <row r="344" spans="1:5" x14ac:dyDescent="0.3">
      <c r="A344" s="208" t="s">
        <v>213</v>
      </c>
      <c r="B344" s="207" t="str">
        <f>IF('Machine Fixed Monthly Cost VS I'!AZ26="","",'Machine Fixed Monthly Cost VS I'!AZ26)</f>
        <v/>
      </c>
      <c r="C344" s="207">
        <f>IF('Machine Fixed Monthly Cost VS I'!BA26="","",'Machine Fixed Monthly Cost VS I'!BA26)</f>
        <v>637.29166666666663</v>
      </c>
      <c r="D344" s="207" t="str">
        <f>IF('Machine Fixed Monthly Cost VS I'!BB26="","",'Machine Fixed Monthly Cost VS I'!BB26)</f>
        <v/>
      </c>
      <c r="E344" s="209" t="str">
        <f>IF('Monthly Running Cost'!Z26="","",'Monthly Running Cost'!Z26)</f>
        <v/>
      </c>
    </row>
    <row r="345" spans="1:5" x14ac:dyDescent="0.3">
      <c r="E345" s="209"/>
    </row>
    <row r="346" spans="1:5" x14ac:dyDescent="0.3">
      <c r="A346" s="246" t="s">
        <v>45</v>
      </c>
      <c r="B346" s="246"/>
      <c r="C346" s="246"/>
      <c r="D346" s="246"/>
      <c r="E346" s="209"/>
    </row>
    <row r="347" spans="1:5" x14ac:dyDescent="0.3">
      <c r="A347" s="204" t="s">
        <v>199</v>
      </c>
      <c r="B347" s="205" t="s">
        <v>200</v>
      </c>
      <c r="C347" s="205" t="s">
        <v>201</v>
      </c>
      <c r="D347" s="206" t="s">
        <v>129</v>
      </c>
      <c r="E347" s="210" t="s">
        <v>248</v>
      </c>
    </row>
    <row r="348" spans="1:5" x14ac:dyDescent="0.3">
      <c r="A348" s="208" t="s">
        <v>202</v>
      </c>
      <c r="B348" s="207" t="str">
        <f>IF('Machine Fixed Monthly Cost VS I'!H27="","",'Machine Fixed Monthly Cost VS I'!H27)</f>
        <v/>
      </c>
      <c r="C348" s="207">
        <f>IF('Machine Fixed Monthly Cost VS I'!I27="","",'Machine Fixed Monthly Cost VS I'!I27)</f>
        <v>523.25</v>
      </c>
      <c r="D348" s="207">
        <f>IF('Machine Fixed Monthly Cost VS I'!J27="","",'Machine Fixed Monthly Cost VS I'!J27)</f>
        <v>-523.25</v>
      </c>
      <c r="E348" s="209" t="str">
        <f>IF('Monthly Running Cost'!D27="","",'Monthly Running Cost'!D27)</f>
        <v/>
      </c>
    </row>
    <row r="349" spans="1:5" x14ac:dyDescent="0.3">
      <c r="A349" s="208" t="s">
        <v>203</v>
      </c>
      <c r="B349" s="207" t="str">
        <f>IF('Machine Fixed Monthly Cost VS I'!L27="","",'Machine Fixed Monthly Cost VS I'!L27)</f>
        <v/>
      </c>
      <c r="C349" s="207">
        <f>IF('Machine Fixed Monthly Cost VS I'!M27="","",'Machine Fixed Monthly Cost VS I'!M27)</f>
        <v>523.25</v>
      </c>
      <c r="D349" s="207">
        <f>IF('Machine Fixed Monthly Cost VS I'!N27="","",'Machine Fixed Monthly Cost VS I'!N27)</f>
        <v>-523.25</v>
      </c>
      <c r="E349" s="209" t="str">
        <f>IF('Monthly Running Cost'!F27="","",'Monthly Running Cost'!F27)</f>
        <v/>
      </c>
    </row>
    <row r="350" spans="1:5" x14ac:dyDescent="0.3">
      <c r="A350" s="208" t="s">
        <v>204</v>
      </c>
      <c r="B350" s="207" t="str">
        <f>IF('Machine Fixed Monthly Cost VS I'!P27="","",'Machine Fixed Monthly Cost VS I'!P27)</f>
        <v/>
      </c>
      <c r="C350" s="207">
        <f>IF('Machine Fixed Monthly Cost VS I'!Q27="","",'Machine Fixed Monthly Cost VS I'!Q27)</f>
        <v>523.25</v>
      </c>
      <c r="D350" s="207">
        <f>IF('Machine Fixed Monthly Cost VS I'!R27="","",'Machine Fixed Monthly Cost VS I'!R27)</f>
        <v>-523.25</v>
      </c>
      <c r="E350" s="209" t="str">
        <f>IF('Monthly Running Cost'!H27="","",'Monthly Running Cost'!H27)</f>
        <v/>
      </c>
    </row>
    <row r="351" spans="1:5" x14ac:dyDescent="0.3">
      <c r="A351" s="208" t="s">
        <v>205</v>
      </c>
      <c r="B351" s="207" t="str">
        <f>IF('Machine Fixed Monthly Cost VS I'!T27="","",'Machine Fixed Monthly Cost VS I'!T27)</f>
        <v/>
      </c>
      <c r="C351" s="207">
        <f>IF('Machine Fixed Monthly Cost VS I'!U27="","",'Machine Fixed Monthly Cost VS I'!U27)</f>
        <v>523.25</v>
      </c>
      <c r="D351" s="207">
        <f>IF('Machine Fixed Monthly Cost VS I'!V27="","",'Machine Fixed Monthly Cost VS I'!V27)</f>
        <v>-523.25</v>
      </c>
      <c r="E351" s="209" t="str">
        <f>IF('Monthly Running Cost'!J27="","",'Monthly Running Cost'!J27)</f>
        <v/>
      </c>
    </row>
    <row r="352" spans="1:5" x14ac:dyDescent="0.3">
      <c r="A352" s="208" t="s">
        <v>206</v>
      </c>
      <c r="B352" s="207" t="str">
        <f>IF('Machine Fixed Monthly Cost VS I'!X27="","",'Machine Fixed Monthly Cost VS I'!X27)</f>
        <v/>
      </c>
      <c r="C352" s="207">
        <f>IF('Machine Fixed Monthly Cost VS I'!Y27="","",'Machine Fixed Monthly Cost VS I'!Y27)</f>
        <v>523.25</v>
      </c>
      <c r="D352" s="207">
        <f>IF('Machine Fixed Monthly Cost VS I'!Z27="","",'Machine Fixed Monthly Cost VS I'!Z27)</f>
        <v>-523.25</v>
      </c>
      <c r="E352" s="209" t="str">
        <f>IF('Monthly Running Cost'!L27="","",'Monthly Running Cost'!L27)</f>
        <v/>
      </c>
    </row>
    <row r="353" spans="1:5" x14ac:dyDescent="0.3">
      <c r="A353" s="208" t="s">
        <v>207</v>
      </c>
      <c r="B353" s="207" t="str">
        <f>IF('Machine Fixed Monthly Cost VS I'!AB27="","",'Machine Fixed Monthly Cost VS I'!AB27)</f>
        <v/>
      </c>
      <c r="C353" s="207">
        <f>IF('Machine Fixed Monthly Cost VS I'!AC27="","",'Machine Fixed Monthly Cost VS I'!AC27)</f>
        <v>523.25</v>
      </c>
      <c r="D353" s="207">
        <f>IF('Machine Fixed Monthly Cost VS I'!AD27="","",'Machine Fixed Monthly Cost VS I'!AD27)</f>
        <v>-523.25</v>
      </c>
      <c r="E353" s="209" t="str">
        <f>IF('Monthly Running Cost'!N27="","",'Monthly Running Cost'!N27)</f>
        <v/>
      </c>
    </row>
    <row r="354" spans="1:5" x14ac:dyDescent="0.3">
      <c r="A354" s="208" t="s">
        <v>208</v>
      </c>
      <c r="B354" s="207" t="str">
        <f>IF('Machine Fixed Monthly Cost VS I'!AF27="","",'Machine Fixed Monthly Cost VS I'!AF27)</f>
        <v/>
      </c>
      <c r="C354" s="207">
        <f>IF('Machine Fixed Monthly Cost VS I'!AG27="","",'Machine Fixed Monthly Cost VS I'!AG27)</f>
        <v>523.25</v>
      </c>
      <c r="D354" s="207">
        <f>IF('Machine Fixed Monthly Cost VS I'!AH27="","",'Machine Fixed Monthly Cost VS I'!AH27)</f>
        <v>-523.25</v>
      </c>
      <c r="E354" s="209" t="str">
        <f>IF('Monthly Running Cost'!P27="","",'Monthly Running Cost'!P27)</f>
        <v/>
      </c>
    </row>
    <row r="355" spans="1:5" x14ac:dyDescent="0.3">
      <c r="A355" s="208" t="s">
        <v>209</v>
      </c>
      <c r="B355" s="207" t="str">
        <f>IF('Machine Fixed Monthly Cost VS I'!AJ27="","",'Machine Fixed Monthly Cost VS I'!AJ27)</f>
        <v/>
      </c>
      <c r="C355" s="207">
        <f>IF('Machine Fixed Monthly Cost VS I'!AK27="","",'Machine Fixed Monthly Cost VS I'!AK27)</f>
        <v>523.25</v>
      </c>
      <c r="D355" s="207">
        <f>IF('Machine Fixed Monthly Cost VS I'!AL27="","",'Machine Fixed Monthly Cost VS I'!AL27)</f>
        <v>-523.25</v>
      </c>
      <c r="E355" s="209" t="str">
        <f>IF('Monthly Running Cost'!R27="","",'Monthly Running Cost'!R27)</f>
        <v/>
      </c>
    </row>
    <row r="356" spans="1:5" x14ac:dyDescent="0.3">
      <c r="A356" s="208" t="s">
        <v>210</v>
      </c>
      <c r="B356" s="207" t="str">
        <f>IF('Machine Fixed Monthly Cost VS I'!AN27="","",'Machine Fixed Monthly Cost VS I'!AN27)</f>
        <v/>
      </c>
      <c r="C356" s="207">
        <f>IF('Machine Fixed Monthly Cost VS I'!AO27="","",'Machine Fixed Monthly Cost VS I'!AO27)</f>
        <v>523.25</v>
      </c>
      <c r="D356" s="207" t="str">
        <f>IF('Machine Fixed Monthly Cost VS I'!AP27="","",'Machine Fixed Monthly Cost VS I'!AP27)</f>
        <v/>
      </c>
      <c r="E356" s="209" t="str">
        <f>IF('Monthly Running Cost'!T27="","",'Monthly Running Cost'!T27)</f>
        <v/>
      </c>
    </row>
    <row r="357" spans="1:5" x14ac:dyDescent="0.3">
      <c r="A357" s="208" t="s">
        <v>211</v>
      </c>
      <c r="B357" s="207" t="str">
        <f>IF('Machine Fixed Monthly Cost VS I'!AR27="","",'Machine Fixed Monthly Cost VS I'!AR27)</f>
        <v/>
      </c>
      <c r="C357" s="207">
        <f>IF('Machine Fixed Monthly Cost VS I'!AS27="","",'Machine Fixed Monthly Cost VS I'!AS27)</f>
        <v>523.25</v>
      </c>
      <c r="D357" s="207" t="str">
        <f>IF('Machine Fixed Monthly Cost VS I'!AT27="","",'Machine Fixed Monthly Cost VS I'!AT27)</f>
        <v/>
      </c>
      <c r="E357" s="209" t="str">
        <f>IF('Monthly Running Cost'!V27="","",'Monthly Running Cost'!V27)</f>
        <v/>
      </c>
    </row>
    <row r="358" spans="1:5" x14ac:dyDescent="0.3">
      <c r="A358" s="208" t="s">
        <v>212</v>
      </c>
      <c r="B358" s="207" t="str">
        <f>IF('Machine Fixed Monthly Cost VS I'!AV27="","",'Machine Fixed Monthly Cost VS I'!AV27)</f>
        <v/>
      </c>
      <c r="C358" s="207">
        <f>IF('Machine Fixed Monthly Cost VS I'!AW27="","",'Machine Fixed Monthly Cost VS I'!AW27)</f>
        <v>523.25</v>
      </c>
      <c r="D358" s="207" t="str">
        <f>IF('Machine Fixed Monthly Cost VS I'!AX27="","",'Machine Fixed Monthly Cost VS I'!AX27)</f>
        <v/>
      </c>
      <c r="E358" s="209" t="str">
        <f>IF('Monthly Running Cost'!X27="","",'Monthly Running Cost'!X27)</f>
        <v/>
      </c>
    </row>
    <row r="359" spans="1:5" x14ac:dyDescent="0.3">
      <c r="A359" s="208" t="s">
        <v>213</v>
      </c>
      <c r="B359" s="207" t="str">
        <f>IF('Machine Fixed Monthly Cost VS I'!AZ27="","",'Machine Fixed Monthly Cost VS I'!AZ27)</f>
        <v/>
      </c>
      <c r="C359" s="207">
        <f>IF('Machine Fixed Monthly Cost VS I'!BA27="","",'Machine Fixed Monthly Cost VS I'!BA27)</f>
        <v>523.25</v>
      </c>
      <c r="D359" s="207" t="str">
        <f>IF('Machine Fixed Monthly Cost VS I'!BB27="","",'Machine Fixed Monthly Cost VS I'!BB27)</f>
        <v/>
      </c>
      <c r="E359" s="209" t="str">
        <f>IF('Monthly Running Cost'!Z27="","",'Monthly Running Cost'!Z27)</f>
        <v/>
      </c>
    </row>
    <row r="360" spans="1:5" x14ac:dyDescent="0.3">
      <c r="E360" s="209"/>
    </row>
    <row r="361" spans="1:5" x14ac:dyDescent="0.3">
      <c r="A361" s="246" t="s">
        <v>46</v>
      </c>
      <c r="B361" s="246"/>
      <c r="C361" s="246"/>
      <c r="D361" s="246"/>
      <c r="E361" s="209"/>
    </row>
    <row r="362" spans="1:5" x14ac:dyDescent="0.3">
      <c r="A362" s="204" t="s">
        <v>199</v>
      </c>
      <c r="B362" s="205" t="s">
        <v>200</v>
      </c>
      <c r="C362" s="205" t="s">
        <v>201</v>
      </c>
      <c r="D362" s="206" t="s">
        <v>129</v>
      </c>
      <c r="E362" s="210" t="s">
        <v>248</v>
      </c>
    </row>
    <row r="363" spans="1:5" x14ac:dyDescent="0.3">
      <c r="A363" s="208" t="s">
        <v>202</v>
      </c>
      <c r="B363" s="207" t="str">
        <f>IF('Machine Fixed Monthly Cost VS I'!H28="","",'Machine Fixed Monthly Cost VS I'!H28)</f>
        <v/>
      </c>
      <c r="C363" s="207">
        <f>IF('Machine Fixed Monthly Cost VS I'!I28="","",'Machine Fixed Monthly Cost VS I'!I28)</f>
        <v>1677.083333333333</v>
      </c>
      <c r="D363" s="207">
        <f>IF('Machine Fixed Monthly Cost VS I'!J28="","",'Machine Fixed Monthly Cost VS I'!J28)</f>
        <v>-1677.083333333333</v>
      </c>
      <c r="E363" s="209" t="str">
        <f>IF('Monthly Running Cost'!D28="","",'Monthly Running Cost'!D28)</f>
        <v/>
      </c>
    </row>
    <row r="364" spans="1:5" x14ac:dyDescent="0.3">
      <c r="A364" s="208" t="s">
        <v>203</v>
      </c>
      <c r="B364" s="207" t="str">
        <f>IF('Machine Fixed Monthly Cost VS I'!L28="","",'Machine Fixed Monthly Cost VS I'!L28)</f>
        <v/>
      </c>
      <c r="C364" s="207">
        <f>IF('Machine Fixed Monthly Cost VS I'!M28="","",'Machine Fixed Monthly Cost VS I'!M28)</f>
        <v>1677.083333333333</v>
      </c>
      <c r="D364" s="207">
        <f>IF('Machine Fixed Monthly Cost VS I'!N28="","",'Machine Fixed Monthly Cost VS I'!N28)</f>
        <v>-1677.083333333333</v>
      </c>
      <c r="E364" s="209" t="str">
        <f>IF('Monthly Running Cost'!F28="","",'Monthly Running Cost'!F28)</f>
        <v/>
      </c>
    </row>
    <row r="365" spans="1:5" x14ac:dyDescent="0.3">
      <c r="A365" s="208" t="s">
        <v>204</v>
      </c>
      <c r="B365" s="207" t="str">
        <f>IF('Machine Fixed Monthly Cost VS I'!P28="","",'Machine Fixed Monthly Cost VS I'!P28)</f>
        <v/>
      </c>
      <c r="C365" s="207">
        <f>IF('Machine Fixed Monthly Cost VS I'!Q28="","",'Machine Fixed Monthly Cost VS I'!Q28)</f>
        <v>1677.083333333333</v>
      </c>
      <c r="D365" s="207">
        <f>IF('Machine Fixed Monthly Cost VS I'!R28="","",'Machine Fixed Monthly Cost VS I'!R28)</f>
        <v>-1677.083333333333</v>
      </c>
      <c r="E365" s="209" t="str">
        <f>IF('Monthly Running Cost'!H28="","",'Monthly Running Cost'!H28)</f>
        <v/>
      </c>
    </row>
    <row r="366" spans="1:5" x14ac:dyDescent="0.3">
      <c r="A366" s="208" t="s">
        <v>205</v>
      </c>
      <c r="B366" s="207" t="str">
        <f>IF('Machine Fixed Monthly Cost VS I'!T28="","",'Machine Fixed Monthly Cost VS I'!T28)</f>
        <v/>
      </c>
      <c r="C366" s="207">
        <f>IF('Machine Fixed Monthly Cost VS I'!U28="","",'Machine Fixed Monthly Cost VS I'!U28)</f>
        <v>1677.083333333333</v>
      </c>
      <c r="D366" s="207">
        <f>IF('Machine Fixed Monthly Cost VS I'!V28="","",'Machine Fixed Monthly Cost VS I'!V28)</f>
        <v>-1677.083333333333</v>
      </c>
      <c r="E366" s="209" t="str">
        <f>IF('Monthly Running Cost'!J28="","",'Monthly Running Cost'!J28)</f>
        <v/>
      </c>
    </row>
    <row r="367" spans="1:5" x14ac:dyDescent="0.3">
      <c r="A367" s="208" t="s">
        <v>206</v>
      </c>
      <c r="B367" s="207" t="str">
        <f>IF('Machine Fixed Monthly Cost VS I'!X28="","",'Machine Fixed Monthly Cost VS I'!X28)</f>
        <v/>
      </c>
      <c r="C367" s="207">
        <f>IF('Machine Fixed Monthly Cost VS I'!Y28="","",'Machine Fixed Monthly Cost VS I'!Y28)</f>
        <v>1677.083333333333</v>
      </c>
      <c r="D367" s="207">
        <f>IF('Machine Fixed Monthly Cost VS I'!Z28="","",'Machine Fixed Monthly Cost VS I'!Z28)</f>
        <v>-1677.083333333333</v>
      </c>
      <c r="E367" s="209" t="str">
        <f>IF('Monthly Running Cost'!L28="","",'Monthly Running Cost'!L28)</f>
        <v/>
      </c>
    </row>
    <row r="368" spans="1:5" x14ac:dyDescent="0.3">
      <c r="A368" s="208" t="s">
        <v>207</v>
      </c>
      <c r="B368" s="207" t="str">
        <f>IF('Machine Fixed Monthly Cost VS I'!AB28="","",'Machine Fixed Monthly Cost VS I'!AB28)</f>
        <v/>
      </c>
      <c r="C368" s="207">
        <f>IF('Machine Fixed Monthly Cost VS I'!AC28="","",'Machine Fixed Monthly Cost VS I'!AC28)</f>
        <v>1677.083333333333</v>
      </c>
      <c r="D368" s="207">
        <f>IF('Machine Fixed Monthly Cost VS I'!AD28="","",'Machine Fixed Monthly Cost VS I'!AD28)</f>
        <v>-1677.083333333333</v>
      </c>
      <c r="E368" s="209" t="str">
        <f>IF('Monthly Running Cost'!N28="","",'Monthly Running Cost'!N28)</f>
        <v/>
      </c>
    </row>
    <row r="369" spans="1:5" x14ac:dyDescent="0.3">
      <c r="A369" s="208" t="s">
        <v>208</v>
      </c>
      <c r="B369" s="207" t="str">
        <f>IF('Machine Fixed Monthly Cost VS I'!AF28="","",'Machine Fixed Monthly Cost VS I'!AF28)</f>
        <v/>
      </c>
      <c r="C369" s="207">
        <f>IF('Machine Fixed Monthly Cost VS I'!AG28="","",'Machine Fixed Monthly Cost VS I'!AG28)</f>
        <v>1677.083333333333</v>
      </c>
      <c r="D369" s="207">
        <f>IF('Machine Fixed Monthly Cost VS I'!AH28="","",'Machine Fixed Monthly Cost VS I'!AH28)</f>
        <v>-1677.083333333333</v>
      </c>
      <c r="E369" s="209" t="str">
        <f>IF('Monthly Running Cost'!P28="","",'Monthly Running Cost'!P28)</f>
        <v/>
      </c>
    </row>
    <row r="370" spans="1:5" x14ac:dyDescent="0.3">
      <c r="A370" s="208" t="s">
        <v>209</v>
      </c>
      <c r="B370" s="207" t="str">
        <f>IF('Machine Fixed Monthly Cost VS I'!AJ28="","",'Machine Fixed Monthly Cost VS I'!AJ28)</f>
        <v/>
      </c>
      <c r="C370" s="207">
        <f>IF('Machine Fixed Monthly Cost VS I'!AK28="","",'Machine Fixed Monthly Cost VS I'!AK28)</f>
        <v>1677.083333333333</v>
      </c>
      <c r="D370" s="207">
        <f>IF('Machine Fixed Monthly Cost VS I'!AL28="","",'Machine Fixed Monthly Cost VS I'!AL28)</f>
        <v>-1677.083333333333</v>
      </c>
      <c r="E370" s="209" t="str">
        <f>IF('Monthly Running Cost'!R28="","",'Monthly Running Cost'!R28)</f>
        <v/>
      </c>
    </row>
    <row r="371" spans="1:5" x14ac:dyDescent="0.3">
      <c r="A371" s="208" t="s">
        <v>210</v>
      </c>
      <c r="B371" s="207" t="str">
        <f>IF('Machine Fixed Monthly Cost VS I'!AN28="","",'Machine Fixed Monthly Cost VS I'!AN28)</f>
        <v/>
      </c>
      <c r="C371" s="207">
        <f>IF('Machine Fixed Monthly Cost VS I'!AO28="","",'Machine Fixed Monthly Cost VS I'!AO28)</f>
        <v>1677.083333333333</v>
      </c>
      <c r="D371" s="207" t="str">
        <f>IF('Machine Fixed Monthly Cost VS I'!AP28="","",'Machine Fixed Monthly Cost VS I'!AP28)</f>
        <v/>
      </c>
      <c r="E371" s="209" t="str">
        <f>IF('Monthly Running Cost'!T28="","",'Monthly Running Cost'!T28)</f>
        <v/>
      </c>
    </row>
    <row r="372" spans="1:5" x14ac:dyDescent="0.3">
      <c r="A372" s="208" t="s">
        <v>211</v>
      </c>
      <c r="B372" s="207" t="str">
        <f>IF('Machine Fixed Monthly Cost VS I'!AR28="","",'Machine Fixed Monthly Cost VS I'!AR28)</f>
        <v/>
      </c>
      <c r="C372" s="207">
        <f>IF('Machine Fixed Monthly Cost VS I'!AS28="","",'Machine Fixed Monthly Cost VS I'!AS28)</f>
        <v>1677.083333333333</v>
      </c>
      <c r="D372" s="207" t="str">
        <f>IF('Machine Fixed Monthly Cost VS I'!AT28="","",'Machine Fixed Monthly Cost VS I'!AT28)</f>
        <v/>
      </c>
      <c r="E372" s="209" t="str">
        <f>IF('Monthly Running Cost'!V28="","",'Monthly Running Cost'!V28)</f>
        <v/>
      </c>
    </row>
    <row r="373" spans="1:5" x14ac:dyDescent="0.3">
      <c r="A373" s="208" t="s">
        <v>212</v>
      </c>
      <c r="B373" s="207" t="str">
        <f>IF('Machine Fixed Monthly Cost VS I'!AV28="","",'Machine Fixed Monthly Cost VS I'!AV28)</f>
        <v/>
      </c>
      <c r="C373" s="207">
        <f>IF('Machine Fixed Monthly Cost VS I'!AW28="","",'Machine Fixed Monthly Cost VS I'!AW28)</f>
        <v>1677.083333333333</v>
      </c>
      <c r="D373" s="207" t="str">
        <f>IF('Machine Fixed Monthly Cost VS I'!AX28="","",'Machine Fixed Monthly Cost VS I'!AX28)</f>
        <v/>
      </c>
      <c r="E373" s="209" t="str">
        <f>IF('Monthly Running Cost'!X28="","",'Monthly Running Cost'!X28)</f>
        <v/>
      </c>
    </row>
    <row r="374" spans="1:5" x14ac:dyDescent="0.3">
      <c r="A374" s="208" t="s">
        <v>213</v>
      </c>
      <c r="B374" s="207" t="str">
        <f>IF('Machine Fixed Monthly Cost VS I'!AZ28="","",'Machine Fixed Monthly Cost VS I'!AZ28)</f>
        <v/>
      </c>
      <c r="C374" s="207">
        <f>IF('Machine Fixed Monthly Cost VS I'!BA28="","",'Machine Fixed Monthly Cost VS I'!BA28)</f>
        <v>1677.083333333333</v>
      </c>
      <c r="D374" s="207" t="str">
        <f>IF('Machine Fixed Monthly Cost VS I'!BB28="","",'Machine Fixed Monthly Cost VS I'!BB28)</f>
        <v/>
      </c>
      <c r="E374" s="209" t="str">
        <f>IF('Monthly Running Cost'!Z28="","",'Monthly Running Cost'!Z28)</f>
        <v/>
      </c>
    </row>
    <row r="375" spans="1:5" x14ac:dyDescent="0.3">
      <c r="E375" s="209"/>
    </row>
    <row r="376" spans="1:5" x14ac:dyDescent="0.3">
      <c r="A376" s="246" t="s">
        <v>47</v>
      </c>
      <c r="B376" s="246"/>
      <c r="C376" s="246"/>
      <c r="D376" s="246"/>
      <c r="E376" s="209"/>
    </row>
    <row r="377" spans="1:5" x14ac:dyDescent="0.3">
      <c r="A377" s="204" t="s">
        <v>199</v>
      </c>
      <c r="B377" s="205" t="s">
        <v>200</v>
      </c>
      <c r="C377" s="205" t="s">
        <v>201</v>
      </c>
      <c r="D377" s="206" t="s">
        <v>129</v>
      </c>
      <c r="E377" s="210" t="s">
        <v>248</v>
      </c>
    </row>
    <row r="378" spans="1:5" x14ac:dyDescent="0.3">
      <c r="A378" s="208" t="s">
        <v>202</v>
      </c>
      <c r="B378" s="207" t="str">
        <f>IF('Machine Fixed Monthly Cost VS I'!H29="","",'Machine Fixed Monthly Cost VS I'!H29)</f>
        <v/>
      </c>
      <c r="C378" s="207">
        <f>IF('Machine Fixed Monthly Cost VS I'!I29="","",'Machine Fixed Monthly Cost VS I'!I29)</f>
        <v>804.99999999999989</v>
      </c>
      <c r="D378" s="207">
        <f>IF('Machine Fixed Monthly Cost VS I'!J29="","",'Machine Fixed Monthly Cost VS I'!J29)</f>
        <v>-804.99999999999989</v>
      </c>
      <c r="E378" s="209">
        <f>IF('Monthly Running Cost'!D29="","",'Monthly Running Cost'!D29)</f>
        <v>3113.9</v>
      </c>
    </row>
    <row r="379" spans="1:5" x14ac:dyDescent="0.3">
      <c r="A379" s="208" t="s">
        <v>203</v>
      </c>
      <c r="B379" s="207" t="str">
        <f>IF('Machine Fixed Monthly Cost VS I'!L29="","",'Machine Fixed Monthly Cost VS I'!L29)</f>
        <v/>
      </c>
      <c r="C379" s="207">
        <f>IF('Machine Fixed Monthly Cost VS I'!M29="","",'Machine Fixed Monthly Cost VS I'!M29)</f>
        <v>804.99999999999989</v>
      </c>
      <c r="D379" s="207">
        <f>IF('Machine Fixed Monthly Cost VS I'!N29="","",'Machine Fixed Monthly Cost VS I'!N29)</f>
        <v>-804.99999999999989</v>
      </c>
      <c r="E379" s="209" t="str">
        <f>IF('Monthly Running Cost'!F29="","",'Monthly Running Cost'!F29)</f>
        <v/>
      </c>
    </row>
    <row r="380" spans="1:5" x14ac:dyDescent="0.3">
      <c r="A380" s="208" t="s">
        <v>204</v>
      </c>
      <c r="B380" s="207" t="str">
        <f>IF('Machine Fixed Monthly Cost VS I'!P29="","",'Machine Fixed Monthly Cost VS I'!P29)</f>
        <v/>
      </c>
      <c r="C380" s="207">
        <f>IF('Machine Fixed Monthly Cost VS I'!Q29="","",'Machine Fixed Monthly Cost VS I'!Q29)</f>
        <v>804.99999999999989</v>
      </c>
      <c r="D380" s="207">
        <f>IF('Machine Fixed Monthly Cost VS I'!R29="","",'Machine Fixed Monthly Cost VS I'!R29)</f>
        <v>-804.99999999999989</v>
      </c>
      <c r="E380" s="209">
        <f>IF('Monthly Running Cost'!H29="","",'Monthly Running Cost'!H29)</f>
        <v>885</v>
      </c>
    </row>
    <row r="381" spans="1:5" x14ac:dyDescent="0.3">
      <c r="A381" s="208" t="s">
        <v>205</v>
      </c>
      <c r="B381" s="207" t="str">
        <f>IF('Machine Fixed Monthly Cost VS I'!T29="","",'Machine Fixed Monthly Cost VS I'!T29)</f>
        <v/>
      </c>
      <c r="C381" s="207">
        <f>IF('Machine Fixed Monthly Cost VS I'!U29="","",'Machine Fixed Monthly Cost VS I'!U29)</f>
        <v>804.99999999999989</v>
      </c>
      <c r="D381" s="207">
        <f>IF('Machine Fixed Monthly Cost VS I'!V29="","",'Machine Fixed Monthly Cost VS I'!V29)</f>
        <v>-804.99999999999989</v>
      </c>
      <c r="E381" s="209" t="str">
        <f>IF('Monthly Running Cost'!J29="","",'Monthly Running Cost'!J29)</f>
        <v/>
      </c>
    </row>
    <row r="382" spans="1:5" x14ac:dyDescent="0.3">
      <c r="A382" s="208" t="s">
        <v>206</v>
      </c>
      <c r="B382" s="207" t="str">
        <f>IF('Machine Fixed Monthly Cost VS I'!X29="","",'Machine Fixed Monthly Cost VS I'!X29)</f>
        <v/>
      </c>
      <c r="C382" s="207">
        <f>IF('Machine Fixed Monthly Cost VS I'!Y29="","",'Machine Fixed Monthly Cost VS I'!Y29)</f>
        <v>804.99999999999989</v>
      </c>
      <c r="D382" s="207">
        <f>IF('Machine Fixed Monthly Cost VS I'!Z29="","",'Machine Fixed Monthly Cost VS I'!Z29)</f>
        <v>-804.99999999999989</v>
      </c>
      <c r="E382" s="209" t="str">
        <f>IF('Monthly Running Cost'!L29="","",'Monthly Running Cost'!L29)</f>
        <v/>
      </c>
    </row>
    <row r="383" spans="1:5" x14ac:dyDescent="0.3">
      <c r="A383" s="208" t="s">
        <v>207</v>
      </c>
      <c r="B383" s="207" t="str">
        <f>IF('Machine Fixed Monthly Cost VS I'!AB29="","",'Machine Fixed Monthly Cost VS I'!AB29)</f>
        <v/>
      </c>
      <c r="C383" s="207">
        <f>IF('Machine Fixed Monthly Cost VS I'!AC29="","",'Machine Fixed Monthly Cost VS I'!AC29)</f>
        <v>804.99999999999989</v>
      </c>
      <c r="D383" s="207">
        <f>IF('Machine Fixed Monthly Cost VS I'!AD29="","",'Machine Fixed Monthly Cost VS I'!AD29)</f>
        <v>-804.99999999999989</v>
      </c>
      <c r="E383" s="209" t="str">
        <f>IF('Monthly Running Cost'!N29="","",'Monthly Running Cost'!N29)</f>
        <v/>
      </c>
    </row>
    <row r="384" spans="1:5" x14ac:dyDescent="0.3">
      <c r="A384" s="208" t="s">
        <v>208</v>
      </c>
      <c r="B384" s="207" t="str">
        <f>IF('Machine Fixed Monthly Cost VS I'!AF29="","",'Machine Fixed Monthly Cost VS I'!AF29)</f>
        <v/>
      </c>
      <c r="C384" s="207">
        <f>IF('Machine Fixed Monthly Cost VS I'!AG29="","",'Machine Fixed Monthly Cost VS I'!AG29)</f>
        <v>804.99999999999989</v>
      </c>
      <c r="D384" s="207">
        <f>IF('Machine Fixed Monthly Cost VS I'!AH29="","",'Machine Fixed Monthly Cost VS I'!AH29)</f>
        <v>-804.99999999999989</v>
      </c>
      <c r="E384" s="209">
        <f>IF('Monthly Running Cost'!P29="","",'Monthly Running Cost'!P29)</f>
        <v>7119.62</v>
      </c>
    </row>
    <row r="385" spans="1:5" x14ac:dyDescent="0.3">
      <c r="A385" s="208" t="s">
        <v>209</v>
      </c>
      <c r="B385" s="207" t="str">
        <f>IF('Machine Fixed Monthly Cost VS I'!AJ29="","",'Machine Fixed Monthly Cost VS I'!AJ29)</f>
        <v/>
      </c>
      <c r="C385" s="207">
        <f>IF('Machine Fixed Monthly Cost VS I'!AK29="","",'Machine Fixed Monthly Cost VS I'!AK29)</f>
        <v>804.99999999999989</v>
      </c>
      <c r="D385" s="207">
        <f>IF('Machine Fixed Monthly Cost VS I'!AL29="","",'Machine Fixed Monthly Cost VS I'!AL29)</f>
        <v>-804.99999999999989</v>
      </c>
      <c r="E385" s="209" t="str">
        <f>IF('Monthly Running Cost'!R29="","",'Monthly Running Cost'!R29)</f>
        <v/>
      </c>
    </row>
    <row r="386" spans="1:5" x14ac:dyDescent="0.3">
      <c r="A386" s="208" t="s">
        <v>210</v>
      </c>
      <c r="B386" s="207" t="str">
        <f>IF('Machine Fixed Monthly Cost VS I'!AN29="","",'Machine Fixed Monthly Cost VS I'!AN29)</f>
        <v/>
      </c>
      <c r="C386" s="207">
        <f>IF('Machine Fixed Monthly Cost VS I'!AO29="","",'Machine Fixed Monthly Cost VS I'!AO29)</f>
        <v>804.99999999999989</v>
      </c>
      <c r="D386" s="207" t="str">
        <f>IF('Machine Fixed Monthly Cost VS I'!AP29="","",'Machine Fixed Monthly Cost VS I'!AP29)</f>
        <v/>
      </c>
      <c r="E386" s="209" t="str">
        <f>IF('Monthly Running Cost'!T29="","",'Monthly Running Cost'!T29)</f>
        <v/>
      </c>
    </row>
    <row r="387" spans="1:5" x14ac:dyDescent="0.3">
      <c r="A387" s="208" t="s">
        <v>211</v>
      </c>
      <c r="B387" s="207" t="str">
        <f>IF('Machine Fixed Monthly Cost VS I'!AR29="","",'Machine Fixed Monthly Cost VS I'!AR29)</f>
        <v/>
      </c>
      <c r="C387" s="207">
        <f>IF('Machine Fixed Monthly Cost VS I'!AS29="","",'Machine Fixed Monthly Cost VS I'!AS29)</f>
        <v>804.99999999999989</v>
      </c>
      <c r="D387" s="207" t="str">
        <f>IF('Machine Fixed Monthly Cost VS I'!AT29="","",'Machine Fixed Monthly Cost VS I'!AT29)</f>
        <v/>
      </c>
      <c r="E387" s="209" t="str">
        <f>IF('Monthly Running Cost'!V29="","",'Monthly Running Cost'!V29)</f>
        <v/>
      </c>
    </row>
    <row r="388" spans="1:5" x14ac:dyDescent="0.3">
      <c r="A388" s="208" t="s">
        <v>212</v>
      </c>
      <c r="B388" s="207" t="str">
        <f>IF('Machine Fixed Monthly Cost VS I'!AV29="","",'Machine Fixed Monthly Cost VS I'!AV29)</f>
        <v/>
      </c>
      <c r="C388" s="207">
        <f>IF('Machine Fixed Monthly Cost VS I'!AW29="","",'Machine Fixed Monthly Cost VS I'!AW29)</f>
        <v>804.99999999999989</v>
      </c>
      <c r="D388" s="207" t="str">
        <f>IF('Machine Fixed Monthly Cost VS I'!AX29="","",'Machine Fixed Monthly Cost VS I'!AX29)</f>
        <v/>
      </c>
      <c r="E388" s="209" t="str">
        <f>IF('Monthly Running Cost'!X29="","",'Monthly Running Cost'!X29)</f>
        <v/>
      </c>
    </row>
    <row r="389" spans="1:5" x14ac:dyDescent="0.3">
      <c r="A389" s="208" t="s">
        <v>213</v>
      </c>
      <c r="B389" s="207" t="str">
        <f>IF('Machine Fixed Monthly Cost VS I'!AZ29="","",'Machine Fixed Monthly Cost VS I'!AZ29)</f>
        <v/>
      </c>
      <c r="C389" s="207">
        <f>IF('Machine Fixed Monthly Cost VS I'!BA29="","",'Machine Fixed Monthly Cost VS I'!BA29)</f>
        <v>804.99999999999989</v>
      </c>
      <c r="D389" s="207" t="str">
        <f>IF('Machine Fixed Monthly Cost VS I'!BB29="","",'Machine Fixed Monthly Cost VS I'!BB29)</f>
        <v/>
      </c>
      <c r="E389" s="209" t="str">
        <f>IF('Monthly Running Cost'!Z29="","",'Monthly Running Cost'!Z29)</f>
        <v/>
      </c>
    </row>
    <row r="390" spans="1:5" x14ac:dyDescent="0.3">
      <c r="E390" s="209"/>
    </row>
    <row r="391" spans="1:5" x14ac:dyDescent="0.3">
      <c r="A391" s="246" t="s">
        <v>234</v>
      </c>
      <c r="B391" s="246"/>
      <c r="C391" s="246"/>
      <c r="D391" s="246"/>
      <c r="E391" s="209"/>
    </row>
    <row r="392" spans="1:5" x14ac:dyDescent="0.3">
      <c r="A392" s="204" t="s">
        <v>199</v>
      </c>
      <c r="B392" s="205" t="s">
        <v>200</v>
      </c>
      <c r="C392" s="205" t="s">
        <v>201</v>
      </c>
      <c r="D392" s="206" t="s">
        <v>129</v>
      </c>
      <c r="E392" s="210" t="s">
        <v>248</v>
      </c>
    </row>
    <row r="393" spans="1:5" x14ac:dyDescent="0.3">
      <c r="A393" s="208" t="s">
        <v>202</v>
      </c>
      <c r="B393" s="207" t="str">
        <f>IF('Machine Fixed Monthly Cost VS I'!H30="","",'Machine Fixed Monthly Cost VS I'!H30)</f>
        <v/>
      </c>
      <c r="C393" s="207">
        <f>IF('Machine Fixed Monthly Cost VS I'!I30="","",'Machine Fixed Monthly Cost VS I'!I30)</f>
        <v>1006.2499999999999</v>
      </c>
      <c r="D393" s="207">
        <f>IF('Machine Fixed Monthly Cost VS I'!J30="","",'Machine Fixed Monthly Cost VS I'!J30)</f>
        <v>-1006.2499999999999</v>
      </c>
      <c r="E393" s="209" t="str">
        <f>IF('Monthly Running Cost'!D30="","",'Monthly Running Cost'!D30)</f>
        <v/>
      </c>
    </row>
    <row r="394" spans="1:5" x14ac:dyDescent="0.3">
      <c r="A394" s="208" t="s">
        <v>203</v>
      </c>
      <c r="B394" s="207" t="str">
        <f>IF('Machine Fixed Monthly Cost VS I'!L30="","",'Machine Fixed Monthly Cost VS I'!L30)</f>
        <v/>
      </c>
      <c r="C394" s="207">
        <f>IF('Machine Fixed Monthly Cost VS I'!M30="","",'Machine Fixed Monthly Cost VS I'!M30)</f>
        <v>1006.2499999999999</v>
      </c>
      <c r="D394" s="207">
        <f>IF('Machine Fixed Monthly Cost VS I'!N30="","",'Machine Fixed Monthly Cost VS I'!N30)</f>
        <v>-1006.2499999999999</v>
      </c>
      <c r="E394" s="209" t="str">
        <f>IF('Monthly Running Cost'!F30="","",'Monthly Running Cost'!F30)</f>
        <v/>
      </c>
    </row>
    <row r="395" spans="1:5" x14ac:dyDescent="0.3">
      <c r="A395" s="208" t="s">
        <v>204</v>
      </c>
      <c r="B395" s="207" t="str">
        <f>IF('Machine Fixed Monthly Cost VS I'!P30="","",'Machine Fixed Monthly Cost VS I'!P30)</f>
        <v/>
      </c>
      <c r="C395" s="207">
        <f>IF('Machine Fixed Monthly Cost VS I'!Q30="","",'Machine Fixed Monthly Cost VS I'!Q30)</f>
        <v>1006.2499999999999</v>
      </c>
      <c r="D395" s="207">
        <f>IF('Machine Fixed Monthly Cost VS I'!R30="","",'Machine Fixed Monthly Cost VS I'!R30)</f>
        <v>-1006.2499999999999</v>
      </c>
      <c r="E395" s="209" t="str">
        <f>IF('Monthly Running Cost'!H30="","",'Monthly Running Cost'!H30)</f>
        <v/>
      </c>
    </row>
    <row r="396" spans="1:5" x14ac:dyDescent="0.3">
      <c r="A396" s="208" t="s">
        <v>205</v>
      </c>
      <c r="B396" s="207" t="str">
        <f>IF('Machine Fixed Monthly Cost VS I'!T30="","",'Machine Fixed Monthly Cost VS I'!T30)</f>
        <v/>
      </c>
      <c r="C396" s="207">
        <f>IF('Machine Fixed Monthly Cost VS I'!U30="","",'Machine Fixed Monthly Cost VS I'!U30)</f>
        <v>1006.2499999999999</v>
      </c>
      <c r="D396" s="207">
        <f>IF('Machine Fixed Monthly Cost VS I'!V30="","",'Machine Fixed Monthly Cost VS I'!V30)</f>
        <v>-1006.2499999999999</v>
      </c>
      <c r="E396" s="209" t="str">
        <f>IF('Monthly Running Cost'!J30="","",'Monthly Running Cost'!J30)</f>
        <v/>
      </c>
    </row>
    <row r="397" spans="1:5" x14ac:dyDescent="0.3">
      <c r="A397" s="208" t="s">
        <v>206</v>
      </c>
      <c r="B397" s="207" t="str">
        <f>IF('Machine Fixed Monthly Cost VS I'!X30="","",'Machine Fixed Monthly Cost VS I'!X30)</f>
        <v/>
      </c>
      <c r="C397" s="207">
        <f>IF('Machine Fixed Monthly Cost VS I'!Y30="","",'Machine Fixed Monthly Cost VS I'!Y30)</f>
        <v>1006.2499999999999</v>
      </c>
      <c r="D397" s="207">
        <f>IF('Machine Fixed Monthly Cost VS I'!Z30="","",'Machine Fixed Monthly Cost VS I'!Z30)</f>
        <v>-1006.2499999999999</v>
      </c>
      <c r="E397" s="209" t="str">
        <f>IF('Monthly Running Cost'!L30="","",'Monthly Running Cost'!L30)</f>
        <v/>
      </c>
    </row>
    <row r="398" spans="1:5" x14ac:dyDescent="0.3">
      <c r="A398" s="208" t="s">
        <v>207</v>
      </c>
      <c r="B398" s="207" t="str">
        <f>IF('Machine Fixed Monthly Cost VS I'!AB30="","",'Machine Fixed Monthly Cost VS I'!AB30)</f>
        <v/>
      </c>
      <c r="C398" s="207">
        <f>IF('Machine Fixed Monthly Cost VS I'!AC30="","",'Machine Fixed Monthly Cost VS I'!AC30)</f>
        <v>1006.2499999999999</v>
      </c>
      <c r="D398" s="207">
        <f>IF('Machine Fixed Monthly Cost VS I'!AD30="","",'Machine Fixed Monthly Cost VS I'!AD30)</f>
        <v>-1006.2499999999999</v>
      </c>
      <c r="E398" s="209" t="str">
        <f>IF('Monthly Running Cost'!N30="","",'Monthly Running Cost'!N30)</f>
        <v/>
      </c>
    </row>
    <row r="399" spans="1:5" x14ac:dyDescent="0.3">
      <c r="A399" s="208" t="s">
        <v>208</v>
      </c>
      <c r="B399" s="207" t="str">
        <f>IF('Machine Fixed Monthly Cost VS I'!AF30="","",'Machine Fixed Monthly Cost VS I'!AF30)</f>
        <v/>
      </c>
      <c r="C399" s="207">
        <f>IF('Machine Fixed Monthly Cost VS I'!AG30="","",'Machine Fixed Monthly Cost VS I'!AG30)</f>
        <v>1006.2499999999999</v>
      </c>
      <c r="D399" s="207">
        <f>IF('Machine Fixed Monthly Cost VS I'!AH30="","",'Machine Fixed Monthly Cost VS I'!AH30)</f>
        <v>-1006.2499999999999</v>
      </c>
      <c r="E399" s="209" t="str">
        <f>IF('Monthly Running Cost'!P30="","",'Monthly Running Cost'!P30)</f>
        <v/>
      </c>
    </row>
    <row r="400" spans="1:5" x14ac:dyDescent="0.3">
      <c r="A400" s="208" t="s">
        <v>209</v>
      </c>
      <c r="B400" s="207">
        <f>IF('Machine Fixed Monthly Cost VS I'!AJ30="","",'Machine Fixed Monthly Cost VS I'!AJ30)</f>
        <v>3162.5</v>
      </c>
      <c r="C400" s="207">
        <f>IF('Machine Fixed Monthly Cost VS I'!AK30="","",'Machine Fixed Monthly Cost VS I'!AK30)</f>
        <v>1006.2499999999999</v>
      </c>
      <c r="D400" s="207">
        <f>IF('Machine Fixed Monthly Cost VS I'!AL30="","",'Machine Fixed Monthly Cost VS I'!AL30)</f>
        <v>2156.25</v>
      </c>
      <c r="E400" s="209" t="str">
        <f>IF('Monthly Running Cost'!R30="","",'Monthly Running Cost'!R30)</f>
        <v/>
      </c>
    </row>
    <row r="401" spans="1:5" x14ac:dyDescent="0.3">
      <c r="A401" s="208" t="s">
        <v>210</v>
      </c>
      <c r="B401" s="207" t="str">
        <f>IF('Machine Fixed Monthly Cost VS I'!AN30="","",'Machine Fixed Monthly Cost VS I'!AN30)</f>
        <v/>
      </c>
      <c r="C401" s="207">
        <f>IF('Machine Fixed Monthly Cost VS I'!AO30="","",'Machine Fixed Monthly Cost VS I'!AO30)</f>
        <v>1006.2499999999999</v>
      </c>
      <c r="D401" s="207" t="str">
        <f>IF('Machine Fixed Monthly Cost VS I'!AP30="","",'Machine Fixed Monthly Cost VS I'!AP30)</f>
        <v/>
      </c>
      <c r="E401" s="209" t="str">
        <f>IF('Monthly Running Cost'!T30="","",'Monthly Running Cost'!T30)</f>
        <v/>
      </c>
    </row>
    <row r="402" spans="1:5" x14ac:dyDescent="0.3">
      <c r="A402" s="208" t="s">
        <v>211</v>
      </c>
      <c r="B402" s="207" t="str">
        <f>IF('Machine Fixed Monthly Cost VS I'!AR30="","",'Machine Fixed Monthly Cost VS I'!AR30)</f>
        <v/>
      </c>
      <c r="C402" s="207">
        <f>IF('Machine Fixed Monthly Cost VS I'!AS30="","",'Machine Fixed Monthly Cost VS I'!AS30)</f>
        <v>1006.2499999999999</v>
      </c>
      <c r="D402" s="207" t="str">
        <f>IF('Machine Fixed Monthly Cost VS I'!AT30="","",'Machine Fixed Monthly Cost VS I'!AT30)</f>
        <v/>
      </c>
      <c r="E402" s="209" t="str">
        <f>IF('Monthly Running Cost'!V30="","",'Monthly Running Cost'!V30)</f>
        <v/>
      </c>
    </row>
    <row r="403" spans="1:5" x14ac:dyDescent="0.3">
      <c r="A403" s="208" t="s">
        <v>212</v>
      </c>
      <c r="B403" s="207" t="str">
        <f>IF('Machine Fixed Monthly Cost VS I'!AV30="","",'Machine Fixed Monthly Cost VS I'!AV30)</f>
        <v/>
      </c>
      <c r="C403" s="207">
        <f>IF('Machine Fixed Monthly Cost VS I'!AW30="","",'Machine Fixed Monthly Cost VS I'!AW30)</f>
        <v>1006.2499999999999</v>
      </c>
      <c r="D403" s="207" t="str">
        <f>IF('Machine Fixed Monthly Cost VS I'!AX30="","",'Machine Fixed Monthly Cost VS I'!AX30)</f>
        <v/>
      </c>
      <c r="E403" s="209" t="str">
        <f>IF('Monthly Running Cost'!X30="","",'Monthly Running Cost'!X30)</f>
        <v/>
      </c>
    </row>
    <row r="404" spans="1:5" x14ac:dyDescent="0.3">
      <c r="A404" s="208" t="s">
        <v>213</v>
      </c>
      <c r="B404" s="207" t="str">
        <f>IF('Machine Fixed Monthly Cost VS I'!AZ30="","",'Machine Fixed Monthly Cost VS I'!AZ30)</f>
        <v/>
      </c>
      <c r="C404" s="207">
        <f>IF('Machine Fixed Monthly Cost VS I'!BA30="","",'Machine Fixed Monthly Cost VS I'!BA30)</f>
        <v>1006.2499999999999</v>
      </c>
      <c r="D404" s="207" t="str">
        <f>IF('Machine Fixed Monthly Cost VS I'!BB30="","",'Machine Fixed Monthly Cost VS I'!BB30)</f>
        <v/>
      </c>
      <c r="E404" s="209" t="str">
        <f>IF('Monthly Running Cost'!Z30="","",'Monthly Running Cost'!Z30)</f>
        <v/>
      </c>
    </row>
    <row r="405" spans="1:5" x14ac:dyDescent="0.3">
      <c r="E405" s="209"/>
    </row>
    <row r="406" spans="1:5" x14ac:dyDescent="0.3">
      <c r="A406" s="246" t="s">
        <v>235</v>
      </c>
      <c r="B406" s="246"/>
      <c r="C406" s="246"/>
      <c r="D406" s="246"/>
      <c r="E406" s="209"/>
    </row>
    <row r="407" spans="1:5" x14ac:dyDescent="0.3">
      <c r="A407" s="204" t="s">
        <v>199</v>
      </c>
      <c r="B407" s="205" t="s">
        <v>200</v>
      </c>
      <c r="C407" s="205" t="s">
        <v>201</v>
      </c>
      <c r="D407" s="206" t="s">
        <v>129</v>
      </c>
      <c r="E407" s="210" t="s">
        <v>248</v>
      </c>
    </row>
    <row r="408" spans="1:5" x14ac:dyDescent="0.3">
      <c r="A408" s="208" t="s">
        <v>202</v>
      </c>
      <c r="B408" s="207" t="str">
        <f>IF('Machine Fixed Monthly Cost VS I'!H31="","",'Machine Fixed Monthly Cost VS I'!H31)</f>
        <v/>
      </c>
      <c r="C408" s="207">
        <f>IF('Machine Fixed Monthly Cost VS I'!I31="","",'Machine Fixed Monthly Cost VS I'!I31)</f>
        <v>4360.4166666666661</v>
      </c>
      <c r="D408" s="207">
        <f>IF('Machine Fixed Monthly Cost VS I'!J31="","",'Machine Fixed Monthly Cost VS I'!J31)</f>
        <v>-4360.4166666666661</v>
      </c>
      <c r="E408" s="209" t="str">
        <f>IF('Monthly Running Cost'!D32="","",'Monthly Running Cost'!D32)</f>
        <v/>
      </c>
    </row>
    <row r="409" spans="1:5" x14ac:dyDescent="0.3">
      <c r="A409" s="208" t="s">
        <v>203</v>
      </c>
      <c r="B409" s="207">
        <f>IF('Machine Fixed Monthly Cost VS I'!L31="","",'Machine Fixed Monthly Cost VS I'!L31)</f>
        <v>1724.9999999999998</v>
      </c>
      <c r="C409" s="207">
        <f>IF('Machine Fixed Monthly Cost VS I'!M31="","",'Machine Fixed Monthly Cost VS I'!M31)</f>
        <v>4360.4166666666661</v>
      </c>
      <c r="D409" s="207">
        <f>IF('Machine Fixed Monthly Cost VS I'!N31="","",'Machine Fixed Monthly Cost VS I'!N31)</f>
        <v>-2635.4166666666661</v>
      </c>
      <c r="E409" s="209" t="str">
        <f>IF('Monthly Running Cost'!F32="","",'Monthly Running Cost'!F32)</f>
        <v/>
      </c>
    </row>
    <row r="410" spans="1:5" x14ac:dyDescent="0.3">
      <c r="A410" s="208" t="s">
        <v>204</v>
      </c>
      <c r="B410" s="207">
        <f>IF('Machine Fixed Monthly Cost VS I'!P31="","",'Machine Fixed Monthly Cost VS I'!P31)</f>
        <v>1725</v>
      </c>
      <c r="C410" s="207">
        <f>IF('Machine Fixed Monthly Cost VS I'!Q31="","",'Machine Fixed Monthly Cost VS I'!Q31)</f>
        <v>4360.4166666666661</v>
      </c>
      <c r="D410" s="207">
        <f>IF('Machine Fixed Monthly Cost VS I'!R31="","",'Machine Fixed Monthly Cost VS I'!R31)</f>
        <v>-2635.4166666666661</v>
      </c>
      <c r="E410" s="209" t="str">
        <f>IF('Monthly Running Cost'!H32="","",'Monthly Running Cost'!H32)</f>
        <v/>
      </c>
    </row>
    <row r="411" spans="1:5" x14ac:dyDescent="0.3">
      <c r="A411" s="208" t="s">
        <v>205</v>
      </c>
      <c r="B411" s="207">
        <f>IF('Machine Fixed Monthly Cost VS I'!T31="","",'Machine Fixed Monthly Cost VS I'!T31)</f>
        <v>1725</v>
      </c>
      <c r="C411" s="207">
        <f>IF('Machine Fixed Monthly Cost VS I'!U31="","",'Machine Fixed Monthly Cost VS I'!U31)</f>
        <v>4360.4166666666661</v>
      </c>
      <c r="D411" s="207">
        <f>IF('Machine Fixed Monthly Cost VS I'!V31="","",'Machine Fixed Monthly Cost VS I'!V31)</f>
        <v>-2635.4166666666661</v>
      </c>
      <c r="E411" s="209" t="str">
        <f>IF('Monthly Running Cost'!J32="","",'Monthly Running Cost'!J32)</f>
        <v/>
      </c>
    </row>
    <row r="412" spans="1:5" x14ac:dyDescent="0.3">
      <c r="A412" s="208" t="s">
        <v>206</v>
      </c>
      <c r="B412" s="207">
        <f>IF('Machine Fixed Monthly Cost VS I'!X31="","",'Machine Fixed Monthly Cost VS I'!X31)</f>
        <v>1725</v>
      </c>
      <c r="C412" s="207">
        <f>IF('Machine Fixed Monthly Cost VS I'!Y31="","",'Machine Fixed Monthly Cost VS I'!Y31)</f>
        <v>4360.4166666666661</v>
      </c>
      <c r="D412" s="207">
        <f>IF('Machine Fixed Monthly Cost VS I'!Z31="","",'Machine Fixed Monthly Cost VS I'!Z31)</f>
        <v>-2635.4166666666661</v>
      </c>
      <c r="E412" s="209" t="str">
        <f>IF('Monthly Running Cost'!L32="","",'Monthly Running Cost'!L32)</f>
        <v/>
      </c>
    </row>
    <row r="413" spans="1:5" x14ac:dyDescent="0.3">
      <c r="A413" s="208" t="s">
        <v>207</v>
      </c>
      <c r="B413" s="207">
        <f>IF('Machine Fixed Monthly Cost VS I'!AB31="","",'Machine Fixed Monthly Cost VS I'!AB31)</f>
        <v>1725</v>
      </c>
      <c r="C413" s="207">
        <f>IF('Machine Fixed Monthly Cost VS I'!AC31="","",'Machine Fixed Monthly Cost VS I'!AC31)</f>
        <v>4360.4166666666661</v>
      </c>
      <c r="D413" s="207">
        <f>IF('Machine Fixed Monthly Cost VS I'!AD31="","",'Machine Fixed Monthly Cost VS I'!AD31)</f>
        <v>-2635.4166666666661</v>
      </c>
      <c r="E413" s="209" t="str">
        <f>IF('Monthly Running Cost'!N32="","",'Monthly Running Cost'!N32)</f>
        <v/>
      </c>
    </row>
    <row r="414" spans="1:5" x14ac:dyDescent="0.3">
      <c r="A414" s="208" t="s">
        <v>208</v>
      </c>
      <c r="B414" s="207">
        <f>IF('Machine Fixed Monthly Cost VS I'!AF31="","",'Machine Fixed Monthly Cost VS I'!AF31)</f>
        <v>1725</v>
      </c>
      <c r="C414" s="207">
        <f>IF('Machine Fixed Monthly Cost VS I'!AG31="","",'Machine Fixed Monthly Cost VS I'!AG31)</f>
        <v>4360.4166666666661</v>
      </c>
      <c r="D414" s="207">
        <f>IF('Machine Fixed Monthly Cost VS I'!AH31="","",'Machine Fixed Monthly Cost VS I'!AH31)</f>
        <v>-2635.4166666666661</v>
      </c>
      <c r="E414" s="209" t="str">
        <f>IF('Monthly Running Cost'!P32="","",'Monthly Running Cost'!P32)</f>
        <v/>
      </c>
    </row>
    <row r="415" spans="1:5" x14ac:dyDescent="0.3">
      <c r="A415" s="208" t="s">
        <v>209</v>
      </c>
      <c r="B415" s="207">
        <f>IF('Machine Fixed Monthly Cost VS I'!AJ31="","",'Machine Fixed Monthly Cost VS I'!AJ31)</f>
        <v>1725</v>
      </c>
      <c r="C415" s="207">
        <f>IF('Machine Fixed Monthly Cost VS I'!AK31="","",'Machine Fixed Monthly Cost VS I'!AK31)</f>
        <v>4360.4166666666661</v>
      </c>
      <c r="D415" s="207">
        <f>IF('Machine Fixed Monthly Cost VS I'!AL31="","",'Machine Fixed Monthly Cost VS I'!AL31)</f>
        <v>-2635.4166666666661</v>
      </c>
      <c r="E415" s="209" t="str">
        <f>IF('Monthly Running Cost'!R32="","",'Monthly Running Cost'!R32)</f>
        <v/>
      </c>
    </row>
    <row r="416" spans="1:5" x14ac:dyDescent="0.3">
      <c r="A416" s="208" t="s">
        <v>210</v>
      </c>
      <c r="B416" s="207" t="str">
        <f>IF('Machine Fixed Monthly Cost VS I'!AN31="","",'Machine Fixed Monthly Cost VS I'!AN31)</f>
        <v/>
      </c>
      <c r="C416" s="207">
        <f>IF('Machine Fixed Monthly Cost VS I'!AO31="","",'Machine Fixed Monthly Cost VS I'!AO31)</f>
        <v>4360.4166666666661</v>
      </c>
      <c r="D416" s="207" t="str">
        <f>IF('Machine Fixed Monthly Cost VS I'!AP31="","",'Machine Fixed Monthly Cost VS I'!AP31)</f>
        <v/>
      </c>
      <c r="E416" s="209" t="str">
        <f>IF('Monthly Running Cost'!T32="","",'Monthly Running Cost'!T32)</f>
        <v/>
      </c>
    </row>
    <row r="417" spans="1:5" x14ac:dyDescent="0.3">
      <c r="A417" s="208" t="s">
        <v>211</v>
      </c>
      <c r="B417" s="207" t="str">
        <f>IF('Machine Fixed Monthly Cost VS I'!AR31="","",'Machine Fixed Monthly Cost VS I'!AR31)</f>
        <v/>
      </c>
      <c r="C417" s="207">
        <f>IF('Machine Fixed Monthly Cost VS I'!AS31="","",'Machine Fixed Monthly Cost VS I'!AS31)</f>
        <v>4360.4166666666661</v>
      </c>
      <c r="D417" s="207" t="str">
        <f>IF('Machine Fixed Monthly Cost VS I'!AT31="","",'Machine Fixed Monthly Cost VS I'!AT31)</f>
        <v/>
      </c>
      <c r="E417" s="209" t="str">
        <f>IF('Monthly Running Cost'!V32="","",'Monthly Running Cost'!V32)</f>
        <v/>
      </c>
    </row>
    <row r="418" spans="1:5" x14ac:dyDescent="0.3">
      <c r="A418" s="208" t="s">
        <v>212</v>
      </c>
      <c r="B418" s="207" t="str">
        <f>IF('Machine Fixed Monthly Cost VS I'!AV31="","",'Machine Fixed Monthly Cost VS I'!AV31)</f>
        <v/>
      </c>
      <c r="C418" s="207">
        <f>IF('Machine Fixed Monthly Cost VS I'!AW31="","",'Machine Fixed Monthly Cost VS I'!AW31)</f>
        <v>4360.4166666666661</v>
      </c>
      <c r="D418" s="207" t="str">
        <f>IF('Machine Fixed Monthly Cost VS I'!AX31="","",'Machine Fixed Monthly Cost VS I'!AX31)</f>
        <v/>
      </c>
      <c r="E418" s="209" t="str">
        <f>IF('Monthly Running Cost'!X32="","",'Monthly Running Cost'!X32)</f>
        <v/>
      </c>
    </row>
    <row r="419" spans="1:5" x14ac:dyDescent="0.3">
      <c r="A419" s="208" t="s">
        <v>213</v>
      </c>
      <c r="B419" s="207" t="str">
        <f>IF('Machine Fixed Monthly Cost VS I'!AZ31="","",'Machine Fixed Monthly Cost VS I'!AZ31)</f>
        <v/>
      </c>
      <c r="C419" s="207">
        <f>IF('Machine Fixed Monthly Cost VS I'!BA31="","",'Machine Fixed Monthly Cost VS I'!BA31)</f>
        <v>4360.4166666666661</v>
      </c>
      <c r="D419" s="207" t="str">
        <f>IF('Machine Fixed Monthly Cost VS I'!BB31="","",'Machine Fixed Monthly Cost VS I'!BB31)</f>
        <v/>
      </c>
      <c r="E419" s="209" t="str">
        <f>IF('Monthly Running Cost'!Z32="","",'Monthly Running Cost'!Z32)</f>
        <v/>
      </c>
    </row>
    <row r="420" spans="1:5" x14ac:dyDescent="0.3">
      <c r="E420" s="209"/>
    </row>
    <row r="421" spans="1:5" x14ac:dyDescent="0.3">
      <c r="A421" s="246" t="s">
        <v>236</v>
      </c>
      <c r="B421" s="246"/>
      <c r="C421" s="246"/>
      <c r="D421" s="246"/>
      <c r="E421" s="209"/>
    </row>
    <row r="422" spans="1:5" x14ac:dyDescent="0.3">
      <c r="A422" s="204" t="s">
        <v>199</v>
      </c>
      <c r="B422" s="205" t="s">
        <v>200</v>
      </c>
      <c r="C422" s="205" t="s">
        <v>201</v>
      </c>
      <c r="D422" s="206" t="s">
        <v>129</v>
      </c>
      <c r="E422" s="210" t="s">
        <v>248</v>
      </c>
    </row>
    <row r="423" spans="1:5" x14ac:dyDescent="0.3">
      <c r="A423" s="208" t="s">
        <v>202</v>
      </c>
      <c r="B423" s="207" t="str">
        <f>IF('Machine Fixed Monthly Cost VS I'!H32="","",'Machine Fixed Monthly Cost VS I'!H32)</f>
        <v/>
      </c>
      <c r="C423" s="207">
        <f>IF('Machine Fixed Monthly Cost VS I'!I32="","",'Machine Fixed Monthly Cost VS I'!I32)</f>
        <v>3018.7499999999991</v>
      </c>
      <c r="D423" s="207">
        <f>IF('Machine Fixed Monthly Cost VS I'!J32="","",'Machine Fixed Monthly Cost VS I'!J32)</f>
        <v>-3018.7499999999991</v>
      </c>
      <c r="E423" s="209" t="str">
        <f>IF('Monthly Running Cost'!D33="","",'Monthly Running Cost'!D33)</f>
        <v/>
      </c>
    </row>
    <row r="424" spans="1:5" x14ac:dyDescent="0.3">
      <c r="A424" s="208" t="s">
        <v>203</v>
      </c>
      <c r="B424" s="207">
        <f>IF('Machine Fixed Monthly Cost VS I'!L32="","",'Machine Fixed Monthly Cost VS I'!L32)</f>
        <v>1724.9999999999998</v>
      </c>
      <c r="C424" s="207">
        <f>IF('Machine Fixed Monthly Cost VS I'!M32="","",'Machine Fixed Monthly Cost VS I'!M32)</f>
        <v>3018.7499999999991</v>
      </c>
      <c r="D424" s="207">
        <f>IF('Machine Fixed Monthly Cost VS I'!N32="","",'Machine Fixed Monthly Cost VS I'!N32)</f>
        <v>-1293.7499999999993</v>
      </c>
      <c r="E424" s="209" t="str">
        <f>IF('Monthly Running Cost'!F33="","",'Monthly Running Cost'!F33)</f>
        <v/>
      </c>
    </row>
    <row r="425" spans="1:5" x14ac:dyDescent="0.3">
      <c r="A425" s="208" t="s">
        <v>204</v>
      </c>
      <c r="B425" s="207">
        <f>IF('Machine Fixed Monthly Cost VS I'!P32="","",'Machine Fixed Monthly Cost VS I'!P32)</f>
        <v>1725</v>
      </c>
      <c r="C425" s="207">
        <f>IF('Machine Fixed Monthly Cost VS I'!Q32="","",'Machine Fixed Monthly Cost VS I'!Q32)</f>
        <v>3018.7499999999991</v>
      </c>
      <c r="D425" s="207">
        <f>IF('Machine Fixed Monthly Cost VS I'!R32="","",'Machine Fixed Monthly Cost VS I'!R32)</f>
        <v>-1293.7499999999991</v>
      </c>
      <c r="E425" s="209" t="str">
        <f>IF('Monthly Running Cost'!H33="","",'Monthly Running Cost'!H33)</f>
        <v/>
      </c>
    </row>
    <row r="426" spans="1:5" x14ac:dyDescent="0.3">
      <c r="A426" s="208" t="s">
        <v>205</v>
      </c>
      <c r="B426" s="207">
        <f>IF('Machine Fixed Monthly Cost VS I'!T32="","",'Machine Fixed Monthly Cost VS I'!T32)</f>
        <v>1725</v>
      </c>
      <c r="C426" s="207">
        <f>IF('Machine Fixed Monthly Cost VS I'!U32="","",'Machine Fixed Monthly Cost VS I'!U32)</f>
        <v>3018.7499999999991</v>
      </c>
      <c r="D426" s="207">
        <f>IF('Machine Fixed Monthly Cost VS I'!V32="","",'Machine Fixed Monthly Cost VS I'!V32)</f>
        <v>-1293.7499999999991</v>
      </c>
      <c r="E426" s="209" t="str">
        <f>IF('Monthly Running Cost'!J33="","",'Monthly Running Cost'!J33)</f>
        <v/>
      </c>
    </row>
    <row r="427" spans="1:5" x14ac:dyDescent="0.3">
      <c r="A427" s="208" t="s">
        <v>206</v>
      </c>
      <c r="B427" s="207">
        <f>IF('Machine Fixed Monthly Cost VS I'!X32="","",'Machine Fixed Monthly Cost VS I'!X32)</f>
        <v>1725</v>
      </c>
      <c r="C427" s="207">
        <f>IF('Machine Fixed Monthly Cost VS I'!Y32="","",'Machine Fixed Monthly Cost VS I'!Y32)</f>
        <v>3018.7499999999991</v>
      </c>
      <c r="D427" s="207">
        <f>IF('Machine Fixed Monthly Cost VS I'!Z32="","",'Machine Fixed Monthly Cost VS I'!Z32)</f>
        <v>-1293.7499999999991</v>
      </c>
      <c r="E427" s="209" t="str">
        <f>IF('Monthly Running Cost'!L33="","",'Monthly Running Cost'!L33)</f>
        <v/>
      </c>
    </row>
    <row r="428" spans="1:5" x14ac:dyDescent="0.3">
      <c r="A428" s="208" t="s">
        <v>207</v>
      </c>
      <c r="B428" s="207">
        <f>IF('Machine Fixed Monthly Cost VS I'!AB32="","",'Machine Fixed Monthly Cost VS I'!AB32)</f>
        <v>1725</v>
      </c>
      <c r="C428" s="207">
        <f>IF('Machine Fixed Monthly Cost VS I'!AC32="","",'Machine Fixed Monthly Cost VS I'!AC32)</f>
        <v>3018.7499999999991</v>
      </c>
      <c r="D428" s="207">
        <f>IF('Machine Fixed Monthly Cost VS I'!AD32="","",'Machine Fixed Monthly Cost VS I'!AD32)</f>
        <v>-1293.7499999999991</v>
      </c>
      <c r="E428" s="209" t="str">
        <f>IF('Monthly Running Cost'!N33="","",'Monthly Running Cost'!N33)</f>
        <v/>
      </c>
    </row>
    <row r="429" spans="1:5" x14ac:dyDescent="0.3">
      <c r="A429" s="208" t="s">
        <v>208</v>
      </c>
      <c r="B429" s="207">
        <f>IF('Machine Fixed Monthly Cost VS I'!AF32="","",'Machine Fixed Monthly Cost VS I'!AF32)</f>
        <v>1725</v>
      </c>
      <c r="C429" s="207">
        <f>IF('Machine Fixed Monthly Cost VS I'!AG32="","",'Machine Fixed Monthly Cost VS I'!AG32)</f>
        <v>3018.7499999999991</v>
      </c>
      <c r="D429" s="207">
        <f>IF('Machine Fixed Monthly Cost VS I'!AH32="","",'Machine Fixed Monthly Cost VS I'!AH32)</f>
        <v>-1293.7499999999991</v>
      </c>
      <c r="E429" s="209" t="str">
        <f>IF('Monthly Running Cost'!P33="","",'Monthly Running Cost'!P33)</f>
        <v/>
      </c>
    </row>
    <row r="430" spans="1:5" x14ac:dyDescent="0.3">
      <c r="A430" s="208" t="s">
        <v>209</v>
      </c>
      <c r="B430" s="207">
        <f>IF('Machine Fixed Monthly Cost VS I'!AJ32="","",'Machine Fixed Monthly Cost VS I'!AJ32)</f>
        <v>1725</v>
      </c>
      <c r="C430" s="207">
        <f>IF('Machine Fixed Monthly Cost VS I'!AK32="","",'Machine Fixed Monthly Cost VS I'!AK32)</f>
        <v>3018.7499999999991</v>
      </c>
      <c r="D430" s="207">
        <f>IF('Machine Fixed Monthly Cost VS I'!AL32="","",'Machine Fixed Monthly Cost VS I'!AL32)</f>
        <v>-1293.7499999999991</v>
      </c>
      <c r="E430" s="209" t="str">
        <f>IF('Monthly Running Cost'!R33="","",'Monthly Running Cost'!R33)</f>
        <v/>
      </c>
    </row>
    <row r="431" spans="1:5" x14ac:dyDescent="0.3">
      <c r="A431" s="208" t="s">
        <v>210</v>
      </c>
      <c r="B431" s="207" t="str">
        <f>IF('Machine Fixed Monthly Cost VS I'!AN32="","",'Machine Fixed Monthly Cost VS I'!AN32)</f>
        <v/>
      </c>
      <c r="C431" s="207">
        <f>IF('Machine Fixed Monthly Cost VS I'!AO32="","",'Machine Fixed Monthly Cost VS I'!AO32)</f>
        <v>3018.7499999999991</v>
      </c>
      <c r="D431" s="207" t="str">
        <f>IF('Machine Fixed Monthly Cost VS I'!AP32="","",'Machine Fixed Monthly Cost VS I'!AP32)</f>
        <v/>
      </c>
      <c r="E431" s="209" t="str">
        <f>IF('Monthly Running Cost'!T33="","",'Monthly Running Cost'!T33)</f>
        <v/>
      </c>
    </row>
    <row r="432" spans="1:5" x14ac:dyDescent="0.3">
      <c r="A432" s="208" t="s">
        <v>211</v>
      </c>
      <c r="B432" s="207" t="str">
        <f>IF('Machine Fixed Monthly Cost VS I'!AR32="","",'Machine Fixed Monthly Cost VS I'!AR32)</f>
        <v/>
      </c>
      <c r="C432" s="207">
        <f>IF('Machine Fixed Monthly Cost VS I'!AS32="","",'Machine Fixed Monthly Cost VS I'!AS32)</f>
        <v>3018.7499999999991</v>
      </c>
      <c r="D432" s="207" t="str">
        <f>IF('Machine Fixed Monthly Cost VS I'!AT32="","",'Machine Fixed Monthly Cost VS I'!AT32)</f>
        <v/>
      </c>
      <c r="E432" s="209" t="str">
        <f>IF('Monthly Running Cost'!V33="","",'Monthly Running Cost'!V33)</f>
        <v/>
      </c>
    </row>
    <row r="433" spans="1:5" x14ac:dyDescent="0.3">
      <c r="A433" s="208" t="s">
        <v>212</v>
      </c>
      <c r="B433" s="207" t="str">
        <f>IF('Machine Fixed Monthly Cost VS I'!AV32="","",'Machine Fixed Monthly Cost VS I'!AV32)</f>
        <v/>
      </c>
      <c r="C433" s="207">
        <f>IF('Machine Fixed Monthly Cost VS I'!AW32="","",'Machine Fixed Monthly Cost VS I'!AW32)</f>
        <v>3018.7499999999991</v>
      </c>
      <c r="D433" s="207" t="str">
        <f>IF('Machine Fixed Monthly Cost VS I'!AX32="","",'Machine Fixed Monthly Cost VS I'!AX32)</f>
        <v/>
      </c>
      <c r="E433" s="209" t="str">
        <f>IF('Monthly Running Cost'!X33="","",'Monthly Running Cost'!X33)</f>
        <v/>
      </c>
    </row>
    <row r="434" spans="1:5" x14ac:dyDescent="0.3">
      <c r="A434" s="208" t="s">
        <v>213</v>
      </c>
      <c r="B434" s="207" t="str">
        <f>IF('Machine Fixed Monthly Cost VS I'!AZ32="","",'Machine Fixed Monthly Cost VS I'!AZ32)</f>
        <v/>
      </c>
      <c r="C434" s="207">
        <f>IF('Machine Fixed Monthly Cost VS I'!BA32="","",'Machine Fixed Monthly Cost VS I'!BA32)</f>
        <v>3018.7499999999991</v>
      </c>
      <c r="D434" s="207" t="str">
        <f>IF('Machine Fixed Monthly Cost VS I'!BB32="","",'Machine Fixed Monthly Cost VS I'!BB32)</f>
        <v/>
      </c>
      <c r="E434" s="209" t="str">
        <f>IF('Monthly Running Cost'!Z33="","",'Monthly Running Cost'!Z33)</f>
        <v/>
      </c>
    </row>
    <row r="435" spans="1:5" x14ac:dyDescent="0.3">
      <c r="E435" s="209"/>
    </row>
    <row r="436" spans="1:5" x14ac:dyDescent="0.3">
      <c r="A436" s="246" t="s">
        <v>237</v>
      </c>
      <c r="B436" s="246"/>
      <c r="C436" s="246"/>
      <c r="D436" s="246"/>
      <c r="E436" s="209"/>
    </row>
    <row r="437" spans="1:5" x14ac:dyDescent="0.3">
      <c r="A437" s="204" t="s">
        <v>199</v>
      </c>
      <c r="B437" s="205" t="s">
        <v>200</v>
      </c>
      <c r="C437" s="205" t="s">
        <v>201</v>
      </c>
      <c r="D437" s="206" t="s">
        <v>129</v>
      </c>
      <c r="E437" s="210" t="s">
        <v>248</v>
      </c>
    </row>
    <row r="438" spans="1:5" x14ac:dyDescent="0.3">
      <c r="A438" s="208" t="s">
        <v>202</v>
      </c>
      <c r="B438" s="207" t="str">
        <f>IF('Machine Fixed Monthly Cost VS I'!H33="","",'Machine Fixed Monthly Cost VS I'!H33)</f>
        <v/>
      </c>
      <c r="C438" s="207">
        <f>IF('Machine Fixed Monthly Cost VS I'!I33="","",'Machine Fixed Monthly Cost VS I'!I33)</f>
        <v>1878.333333333333</v>
      </c>
      <c r="D438" s="207">
        <f>IF('Machine Fixed Monthly Cost VS I'!J33="","",'Machine Fixed Monthly Cost VS I'!J33)</f>
        <v>-1878.333333333333</v>
      </c>
      <c r="E438" s="209" t="str">
        <f>IF('Monthly Running Cost'!D34="","",'Monthly Running Cost'!D34)</f>
        <v/>
      </c>
    </row>
    <row r="439" spans="1:5" x14ac:dyDescent="0.3">
      <c r="A439" s="208" t="s">
        <v>203</v>
      </c>
      <c r="B439" s="207">
        <f>IF('Machine Fixed Monthly Cost VS I'!L33="","",'Machine Fixed Monthly Cost VS I'!L33)</f>
        <v>1380</v>
      </c>
      <c r="C439" s="207">
        <f>IF('Machine Fixed Monthly Cost VS I'!M33="","",'Machine Fixed Monthly Cost VS I'!M33)</f>
        <v>1878.333333333333</v>
      </c>
      <c r="D439" s="207">
        <f>IF('Machine Fixed Monthly Cost VS I'!N33="","",'Machine Fixed Monthly Cost VS I'!N33)</f>
        <v>-498.33333333333303</v>
      </c>
      <c r="E439" s="209" t="str">
        <f>IF('Monthly Running Cost'!F34="","",'Monthly Running Cost'!F34)</f>
        <v/>
      </c>
    </row>
    <row r="440" spans="1:5" x14ac:dyDescent="0.3">
      <c r="A440" s="208" t="s">
        <v>204</v>
      </c>
      <c r="B440" s="207">
        <f>IF('Machine Fixed Monthly Cost VS I'!P33="","",'Machine Fixed Monthly Cost VS I'!P33)</f>
        <v>1380</v>
      </c>
      <c r="C440" s="207">
        <f>IF('Machine Fixed Monthly Cost VS I'!Q33="","",'Machine Fixed Monthly Cost VS I'!Q33)</f>
        <v>1878.333333333333</v>
      </c>
      <c r="D440" s="207">
        <f>IF('Machine Fixed Monthly Cost VS I'!R33="","",'Machine Fixed Monthly Cost VS I'!R33)</f>
        <v>-498.33333333333303</v>
      </c>
      <c r="E440" s="209" t="str">
        <f>IF('Monthly Running Cost'!H34="","",'Monthly Running Cost'!H34)</f>
        <v/>
      </c>
    </row>
    <row r="441" spans="1:5" x14ac:dyDescent="0.3">
      <c r="A441" s="208" t="s">
        <v>205</v>
      </c>
      <c r="B441" s="207">
        <f>IF('Machine Fixed Monthly Cost VS I'!T33="","",'Machine Fixed Monthly Cost VS I'!T33)</f>
        <v>1380</v>
      </c>
      <c r="C441" s="207">
        <f>IF('Machine Fixed Monthly Cost VS I'!U33="","",'Machine Fixed Monthly Cost VS I'!U33)</f>
        <v>1878.333333333333</v>
      </c>
      <c r="D441" s="207">
        <f>IF('Machine Fixed Monthly Cost VS I'!V33="","",'Machine Fixed Monthly Cost VS I'!V33)</f>
        <v>-498.33333333333303</v>
      </c>
      <c r="E441" s="209" t="str">
        <f>IF('Monthly Running Cost'!J34="","",'Monthly Running Cost'!J34)</f>
        <v/>
      </c>
    </row>
    <row r="442" spans="1:5" x14ac:dyDescent="0.3">
      <c r="A442" s="208" t="s">
        <v>206</v>
      </c>
      <c r="B442" s="207">
        <f>IF('Machine Fixed Monthly Cost VS I'!X33="","",'Machine Fixed Monthly Cost VS I'!X33)</f>
        <v>1380</v>
      </c>
      <c r="C442" s="207">
        <f>IF('Machine Fixed Monthly Cost VS I'!Y33="","",'Machine Fixed Monthly Cost VS I'!Y33)</f>
        <v>1878.333333333333</v>
      </c>
      <c r="D442" s="207">
        <f>IF('Machine Fixed Monthly Cost VS I'!Z33="","",'Machine Fixed Monthly Cost VS I'!Z33)</f>
        <v>-498.33333333333303</v>
      </c>
      <c r="E442" s="209" t="str">
        <f>IF('Monthly Running Cost'!L34="","",'Monthly Running Cost'!L34)</f>
        <v/>
      </c>
    </row>
    <row r="443" spans="1:5" x14ac:dyDescent="0.3">
      <c r="A443" s="208" t="s">
        <v>207</v>
      </c>
      <c r="B443" s="207">
        <f>IF('Machine Fixed Monthly Cost VS I'!AB33="","",'Machine Fixed Monthly Cost VS I'!AB33)</f>
        <v>1380</v>
      </c>
      <c r="C443" s="207">
        <f>IF('Machine Fixed Monthly Cost VS I'!AC33="","",'Machine Fixed Monthly Cost VS I'!AC33)</f>
        <v>1878.333333333333</v>
      </c>
      <c r="D443" s="207">
        <f>IF('Machine Fixed Monthly Cost VS I'!AD33="","",'Machine Fixed Monthly Cost VS I'!AD33)</f>
        <v>-498.33333333333303</v>
      </c>
      <c r="E443" s="209" t="str">
        <f>IF('Monthly Running Cost'!N34="","",'Monthly Running Cost'!N34)</f>
        <v/>
      </c>
    </row>
    <row r="444" spans="1:5" x14ac:dyDescent="0.3">
      <c r="A444" s="208" t="s">
        <v>208</v>
      </c>
      <c r="B444" s="207">
        <f>IF('Machine Fixed Monthly Cost VS I'!AF33="","",'Machine Fixed Monthly Cost VS I'!AF33)</f>
        <v>1380</v>
      </c>
      <c r="C444" s="207">
        <f>IF('Machine Fixed Monthly Cost VS I'!AG33="","",'Machine Fixed Monthly Cost VS I'!AG33)</f>
        <v>1878.333333333333</v>
      </c>
      <c r="D444" s="207">
        <f>IF('Machine Fixed Monthly Cost VS I'!AH33="","",'Machine Fixed Monthly Cost VS I'!AH33)</f>
        <v>-498.33333333333303</v>
      </c>
      <c r="E444" s="209" t="str">
        <f>IF('Monthly Running Cost'!P34="","",'Monthly Running Cost'!P34)</f>
        <v/>
      </c>
    </row>
    <row r="445" spans="1:5" x14ac:dyDescent="0.3">
      <c r="A445" s="208" t="s">
        <v>209</v>
      </c>
      <c r="B445" s="207">
        <f>IF('Machine Fixed Monthly Cost VS I'!AJ33="","",'Machine Fixed Monthly Cost VS I'!AJ33)</f>
        <v>1380</v>
      </c>
      <c r="C445" s="207">
        <f>IF('Machine Fixed Monthly Cost VS I'!AK33="","",'Machine Fixed Monthly Cost VS I'!AK33)</f>
        <v>1878.333333333333</v>
      </c>
      <c r="D445" s="207">
        <f>IF('Machine Fixed Monthly Cost VS I'!AL33="","",'Machine Fixed Monthly Cost VS I'!AL33)</f>
        <v>-498.33333333333303</v>
      </c>
      <c r="E445" s="209" t="str">
        <f>IF('Monthly Running Cost'!R34="","",'Monthly Running Cost'!R34)</f>
        <v/>
      </c>
    </row>
    <row r="446" spans="1:5" x14ac:dyDescent="0.3">
      <c r="A446" s="208" t="s">
        <v>210</v>
      </c>
      <c r="B446" s="207" t="str">
        <f>IF('Machine Fixed Monthly Cost VS I'!AN33="","",'Machine Fixed Monthly Cost VS I'!AN33)</f>
        <v/>
      </c>
      <c r="C446" s="207">
        <f>IF('Machine Fixed Monthly Cost VS I'!AO33="","",'Machine Fixed Monthly Cost VS I'!AO33)</f>
        <v>1878.333333333333</v>
      </c>
      <c r="D446" s="207" t="str">
        <f>IF('Machine Fixed Monthly Cost VS I'!AP33="","",'Machine Fixed Monthly Cost VS I'!AP33)</f>
        <v/>
      </c>
      <c r="E446" s="209" t="str">
        <f>IF('Monthly Running Cost'!T34="","",'Monthly Running Cost'!T34)</f>
        <v/>
      </c>
    </row>
    <row r="447" spans="1:5" x14ac:dyDescent="0.3">
      <c r="A447" s="208" t="s">
        <v>211</v>
      </c>
      <c r="B447" s="207" t="str">
        <f>IF('Machine Fixed Monthly Cost VS I'!AR33="","",'Machine Fixed Monthly Cost VS I'!AR33)</f>
        <v/>
      </c>
      <c r="C447" s="207">
        <f>IF('Machine Fixed Monthly Cost VS I'!AS33="","",'Machine Fixed Monthly Cost VS I'!AS33)</f>
        <v>1878.333333333333</v>
      </c>
      <c r="D447" s="207" t="str">
        <f>IF('Machine Fixed Monthly Cost VS I'!AT33="","",'Machine Fixed Monthly Cost VS I'!AT33)</f>
        <v/>
      </c>
      <c r="E447" s="209" t="str">
        <f>IF('Monthly Running Cost'!V34="","",'Monthly Running Cost'!V34)</f>
        <v/>
      </c>
    </row>
    <row r="448" spans="1:5" x14ac:dyDescent="0.3">
      <c r="A448" s="208" t="s">
        <v>212</v>
      </c>
      <c r="B448" s="207" t="str">
        <f>IF('Machine Fixed Monthly Cost VS I'!AV33="","",'Machine Fixed Monthly Cost VS I'!AV33)</f>
        <v/>
      </c>
      <c r="C448" s="207">
        <f>IF('Machine Fixed Monthly Cost VS I'!AW33="","",'Machine Fixed Monthly Cost VS I'!AW33)</f>
        <v>1878.333333333333</v>
      </c>
      <c r="D448" s="207" t="str">
        <f>IF('Machine Fixed Monthly Cost VS I'!AX33="","",'Machine Fixed Monthly Cost VS I'!AX33)</f>
        <v/>
      </c>
      <c r="E448" s="209" t="str">
        <f>IF('Monthly Running Cost'!X34="","",'Monthly Running Cost'!X34)</f>
        <v/>
      </c>
    </row>
    <row r="449" spans="1:5" x14ac:dyDescent="0.3">
      <c r="A449" s="208" t="s">
        <v>213</v>
      </c>
      <c r="B449" s="207" t="str">
        <f>IF('Machine Fixed Monthly Cost VS I'!AZ33="","",'Machine Fixed Monthly Cost VS I'!AZ33)</f>
        <v/>
      </c>
      <c r="C449" s="207">
        <f>IF('Machine Fixed Monthly Cost VS I'!BA33="","",'Machine Fixed Monthly Cost VS I'!BA33)</f>
        <v>1878.333333333333</v>
      </c>
      <c r="D449" s="207" t="str">
        <f>IF('Machine Fixed Monthly Cost VS I'!BB33="","",'Machine Fixed Monthly Cost VS I'!BB33)</f>
        <v/>
      </c>
      <c r="E449" s="209" t="str">
        <f>IF('Monthly Running Cost'!Z34="","",'Monthly Running Cost'!Z34)</f>
        <v/>
      </c>
    </row>
    <row r="450" spans="1:5" x14ac:dyDescent="0.3">
      <c r="E450" s="209"/>
    </row>
    <row r="451" spans="1:5" x14ac:dyDescent="0.3">
      <c r="A451" s="246" t="s">
        <v>238</v>
      </c>
      <c r="B451" s="246"/>
      <c r="C451" s="246"/>
      <c r="D451" s="246"/>
      <c r="E451" s="209"/>
    </row>
    <row r="452" spans="1:5" x14ac:dyDescent="0.3">
      <c r="A452" s="204" t="s">
        <v>199</v>
      </c>
      <c r="B452" s="205" t="s">
        <v>200</v>
      </c>
      <c r="C452" s="205" t="s">
        <v>201</v>
      </c>
      <c r="D452" s="206" t="s">
        <v>129</v>
      </c>
      <c r="E452" s="210" t="s">
        <v>248</v>
      </c>
    </row>
    <row r="453" spans="1:5" x14ac:dyDescent="0.3">
      <c r="A453" s="208" t="s">
        <v>202</v>
      </c>
      <c r="B453" s="207" t="str">
        <f>IF('Machine Fixed Monthly Cost VS I'!H34="","",'Machine Fixed Monthly Cost VS I'!H34)</f>
        <v/>
      </c>
      <c r="C453" s="207">
        <f>IF('Machine Fixed Monthly Cost VS I'!I34="","",'Machine Fixed Monthly Cost VS I'!I34)</f>
        <v>2347.9166666666665</v>
      </c>
      <c r="D453" s="207">
        <f>IF('Machine Fixed Monthly Cost VS I'!J34="","",'Machine Fixed Monthly Cost VS I'!J34)</f>
        <v>-2347.9166666666665</v>
      </c>
      <c r="E453" s="209" t="str">
        <f>IF('Monthly Running Cost'!D35="","",'Monthly Running Cost'!D35)</f>
        <v/>
      </c>
    </row>
    <row r="454" spans="1:5" x14ac:dyDescent="0.3">
      <c r="A454" s="208" t="s">
        <v>203</v>
      </c>
      <c r="B454" s="207">
        <f>IF('Machine Fixed Monthly Cost VS I'!L34="","",'Machine Fixed Monthly Cost VS I'!L34)</f>
        <v>1380</v>
      </c>
      <c r="C454" s="207">
        <f>IF('Machine Fixed Monthly Cost VS I'!M34="","",'Machine Fixed Monthly Cost VS I'!M34)</f>
        <v>2347.9166666666665</v>
      </c>
      <c r="D454" s="207">
        <f>IF('Machine Fixed Monthly Cost VS I'!N34="","",'Machine Fixed Monthly Cost VS I'!N34)</f>
        <v>-967.91666666666652</v>
      </c>
      <c r="E454" s="209" t="str">
        <f>IF('Monthly Running Cost'!F35="","",'Monthly Running Cost'!F35)</f>
        <v/>
      </c>
    </row>
    <row r="455" spans="1:5" x14ac:dyDescent="0.3">
      <c r="A455" s="208" t="s">
        <v>204</v>
      </c>
      <c r="B455" s="207">
        <f>IF('Machine Fixed Monthly Cost VS I'!P34="","",'Machine Fixed Monthly Cost VS I'!P34)</f>
        <v>1380</v>
      </c>
      <c r="C455" s="207">
        <f>IF('Machine Fixed Monthly Cost VS I'!Q34="","",'Machine Fixed Monthly Cost VS I'!Q34)</f>
        <v>2347.9166666666665</v>
      </c>
      <c r="D455" s="207">
        <f>IF('Machine Fixed Monthly Cost VS I'!R34="","",'Machine Fixed Monthly Cost VS I'!R34)</f>
        <v>-967.91666666666652</v>
      </c>
      <c r="E455" s="209" t="str">
        <f>IF('Monthly Running Cost'!H35="","",'Monthly Running Cost'!H35)</f>
        <v/>
      </c>
    </row>
    <row r="456" spans="1:5" x14ac:dyDescent="0.3">
      <c r="A456" s="208" t="s">
        <v>205</v>
      </c>
      <c r="B456" s="207">
        <f>IF('Machine Fixed Monthly Cost VS I'!T34="","",'Machine Fixed Monthly Cost VS I'!T34)</f>
        <v>1380</v>
      </c>
      <c r="C456" s="207">
        <f>IF('Machine Fixed Monthly Cost VS I'!U34="","",'Machine Fixed Monthly Cost VS I'!U34)</f>
        <v>2347.9166666666665</v>
      </c>
      <c r="D456" s="207">
        <f>IF('Machine Fixed Monthly Cost VS I'!V34="","",'Machine Fixed Monthly Cost VS I'!V34)</f>
        <v>-967.91666666666652</v>
      </c>
      <c r="E456" s="209" t="str">
        <f>IF('Monthly Running Cost'!J35="","",'Monthly Running Cost'!J35)</f>
        <v/>
      </c>
    </row>
    <row r="457" spans="1:5" x14ac:dyDescent="0.3">
      <c r="A457" s="208" t="s">
        <v>206</v>
      </c>
      <c r="B457" s="207">
        <f>IF('Machine Fixed Monthly Cost VS I'!X34="","",'Machine Fixed Monthly Cost VS I'!X34)</f>
        <v>1380</v>
      </c>
      <c r="C457" s="207">
        <f>IF('Machine Fixed Monthly Cost VS I'!Y34="","",'Machine Fixed Monthly Cost VS I'!Y34)</f>
        <v>2347.9166666666665</v>
      </c>
      <c r="D457" s="207">
        <f>IF('Machine Fixed Monthly Cost VS I'!Z34="","",'Machine Fixed Monthly Cost VS I'!Z34)</f>
        <v>-967.91666666666652</v>
      </c>
      <c r="E457" s="209" t="str">
        <f>IF('Monthly Running Cost'!L35="","",'Monthly Running Cost'!L35)</f>
        <v/>
      </c>
    </row>
    <row r="458" spans="1:5" x14ac:dyDescent="0.3">
      <c r="A458" s="208" t="s">
        <v>207</v>
      </c>
      <c r="B458" s="207">
        <f>IF('Machine Fixed Monthly Cost VS I'!AB34="","",'Machine Fixed Monthly Cost VS I'!AB34)</f>
        <v>1380</v>
      </c>
      <c r="C458" s="207">
        <f>IF('Machine Fixed Monthly Cost VS I'!AC34="","",'Machine Fixed Monthly Cost VS I'!AC34)</f>
        <v>2347.9166666666665</v>
      </c>
      <c r="D458" s="207">
        <f>IF('Machine Fixed Monthly Cost VS I'!AD34="","",'Machine Fixed Monthly Cost VS I'!AD34)</f>
        <v>-967.91666666666652</v>
      </c>
      <c r="E458" s="209" t="str">
        <f>IF('Monthly Running Cost'!N35="","",'Monthly Running Cost'!N35)</f>
        <v/>
      </c>
    </row>
    <row r="459" spans="1:5" x14ac:dyDescent="0.3">
      <c r="A459" s="208" t="s">
        <v>208</v>
      </c>
      <c r="B459" s="207">
        <f>IF('Machine Fixed Monthly Cost VS I'!AF34="","",'Machine Fixed Monthly Cost VS I'!AF34)</f>
        <v>1380</v>
      </c>
      <c r="C459" s="207">
        <f>IF('Machine Fixed Monthly Cost VS I'!AG34="","",'Machine Fixed Monthly Cost VS I'!AG34)</f>
        <v>2347.9166666666665</v>
      </c>
      <c r="D459" s="207">
        <f>IF('Machine Fixed Monthly Cost VS I'!AH34="","",'Machine Fixed Monthly Cost VS I'!AH34)</f>
        <v>-967.91666666666652</v>
      </c>
      <c r="E459" s="209" t="str">
        <f>IF('Monthly Running Cost'!P35="","",'Monthly Running Cost'!P35)</f>
        <v/>
      </c>
    </row>
    <row r="460" spans="1:5" x14ac:dyDescent="0.3">
      <c r="A460" s="208" t="s">
        <v>209</v>
      </c>
      <c r="B460" s="207">
        <f>IF('Machine Fixed Monthly Cost VS I'!AJ34="","",'Machine Fixed Monthly Cost VS I'!AJ34)</f>
        <v>1380</v>
      </c>
      <c r="C460" s="207">
        <f>IF('Machine Fixed Monthly Cost VS I'!AK34="","",'Machine Fixed Monthly Cost VS I'!AK34)</f>
        <v>2347.9166666666665</v>
      </c>
      <c r="D460" s="207">
        <f>IF('Machine Fixed Monthly Cost VS I'!AL34="","",'Machine Fixed Monthly Cost VS I'!AL34)</f>
        <v>-967.91666666666652</v>
      </c>
      <c r="E460" s="209" t="str">
        <f>IF('Monthly Running Cost'!R35="","",'Monthly Running Cost'!R35)</f>
        <v/>
      </c>
    </row>
    <row r="461" spans="1:5" x14ac:dyDescent="0.3">
      <c r="A461" s="208" t="s">
        <v>210</v>
      </c>
      <c r="B461" s="207" t="str">
        <f>IF('Machine Fixed Monthly Cost VS I'!AN34="","",'Machine Fixed Monthly Cost VS I'!AN34)</f>
        <v/>
      </c>
      <c r="C461" s="207">
        <f>IF('Machine Fixed Monthly Cost VS I'!AO34="","",'Machine Fixed Monthly Cost VS I'!AO34)</f>
        <v>2347.9166666666665</v>
      </c>
      <c r="D461" s="207" t="str">
        <f>IF('Machine Fixed Monthly Cost VS I'!AP34="","",'Machine Fixed Monthly Cost VS I'!AP34)</f>
        <v/>
      </c>
      <c r="E461" s="209" t="str">
        <f>IF('Monthly Running Cost'!T35="","",'Monthly Running Cost'!T35)</f>
        <v/>
      </c>
    </row>
    <row r="462" spans="1:5" x14ac:dyDescent="0.3">
      <c r="A462" s="208" t="s">
        <v>211</v>
      </c>
      <c r="B462" s="207" t="str">
        <f>IF('Machine Fixed Monthly Cost VS I'!AR34="","",'Machine Fixed Monthly Cost VS I'!AR34)</f>
        <v/>
      </c>
      <c r="C462" s="207">
        <f>IF('Machine Fixed Monthly Cost VS I'!AS34="","",'Machine Fixed Monthly Cost VS I'!AS34)</f>
        <v>2347.9166666666665</v>
      </c>
      <c r="D462" s="207" t="str">
        <f>IF('Machine Fixed Monthly Cost VS I'!AT34="","",'Machine Fixed Monthly Cost VS I'!AT34)</f>
        <v/>
      </c>
      <c r="E462" s="209" t="str">
        <f>IF('Monthly Running Cost'!V35="","",'Monthly Running Cost'!V35)</f>
        <v/>
      </c>
    </row>
    <row r="463" spans="1:5" x14ac:dyDescent="0.3">
      <c r="A463" s="208" t="s">
        <v>212</v>
      </c>
      <c r="B463" s="207" t="str">
        <f>IF('Machine Fixed Monthly Cost VS I'!AV34="","",'Machine Fixed Monthly Cost VS I'!AV34)</f>
        <v/>
      </c>
      <c r="C463" s="207">
        <f>IF('Machine Fixed Monthly Cost VS I'!AW34="","",'Machine Fixed Monthly Cost VS I'!AW34)</f>
        <v>2347.9166666666665</v>
      </c>
      <c r="D463" s="207" t="str">
        <f>IF('Machine Fixed Monthly Cost VS I'!AX34="","",'Machine Fixed Monthly Cost VS I'!AX34)</f>
        <v/>
      </c>
      <c r="E463" s="209" t="str">
        <f>IF('Monthly Running Cost'!X35="","",'Monthly Running Cost'!X35)</f>
        <v/>
      </c>
    </row>
    <row r="464" spans="1:5" x14ac:dyDescent="0.3">
      <c r="A464" s="208" t="s">
        <v>213</v>
      </c>
      <c r="B464" s="207" t="str">
        <f>IF('Machine Fixed Monthly Cost VS I'!AZ34="","",'Machine Fixed Monthly Cost VS I'!AZ34)</f>
        <v/>
      </c>
      <c r="C464" s="207">
        <f>IF('Machine Fixed Monthly Cost VS I'!BA34="","",'Machine Fixed Monthly Cost VS I'!BA34)</f>
        <v>2347.9166666666665</v>
      </c>
      <c r="D464" s="207" t="str">
        <f>IF('Machine Fixed Monthly Cost VS I'!BB34="","",'Machine Fixed Monthly Cost VS I'!BB34)</f>
        <v/>
      </c>
      <c r="E464" s="209" t="str">
        <f>IF('Monthly Running Cost'!Z35="","",'Monthly Running Cost'!Z35)</f>
        <v/>
      </c>
    </row>
    <row r="465" spans="1:5" x14ac:dyDescent="0.3">
      <c r="E465" s="209"/>
    </row>
    <row r="466" spans="1:5" x14ac:dyDescent="0.3">
      <c r="A466" s="246" t="s">
        <v>239</v>
      </c>
      <c r="B466" s="246"/>
      <c r="C466" s="246"/>
      <c r="D466" s="246"/>
      <c r="E466" s="209"/>
    </row>
    <row r="467" spans="1:5" x14ac:dyDescent="0.3">
      <c r="A467" s="204" t="s">
        <v>199</v>
      </c>
      <c r="B467" s="205" t="s">
        <v>200</v>
      </c>
      <c r="C467" s="205" t="s">
        <v>201</v>
      </c>
      <c r="D467" s="206" t="s">
        <v>129</v>
      </c>
      <c r="E467" s="210" t="s">
        <v>248</v>
      </c>
    </row>
    <row r="468" spans="1:5" x14ac:dyDescent="0.3">
      <c r="A468" s="208" t="s">
        <v>202</v>
      </c>
      <c r="B468" s="207" t="str">
        <f>IF('Machine Fixed Monthly Cost VS I'!H35="","",'Machine Fixed Monthly Cost VS I'!H35)</f>
        <v/>
      </c>
      <c r="C468" s="207">
        <f>IF('Machine Fixed Monthly Cost VS I'!I35="","",'Machine Fixed Monthly Cost VS I'!I35)</f>
        <v>2347.9166666666665</v>
      </c>
      <c r="D468" s="207">
        <f>IF('Machine Fixed Monthly Cost VS I'!J35="","",'Machine Fixed Monthly Cost VS I'!J35)</f>
        <v>-2347.9166666666665</v>
      </c>
      <c r="E468" s="209" t="str">
        <f>IF('Monthly Running Cost'!D36="","",'Monthly Running Cost'!D36)</f>
        <v/>
      </c>
    </row>
    <row r="469" spans="1:5" x14ac:dyDescent="0.3">
      <c r="A469" s="208" t="s">
        <v>203</v>
      </c>
      <c r="B469" s="207">
        <f>IF('Machine Fixed Monthly Cost VS I'!L35="","",'Machine Fixed Monthly Cost VS I'!L35)</f>
        <v>1380</v>
      </c>
      <c r="C469" s="207">
        <f>IF('Machine Fixed Monthly Cost VS I'!M35="","",'Machine Fixed Monthly Cost VS I'!M35)</f>
        <v>2347.9166666666665</v>
      </c>
      <c r="D469" s="207">
        <f>IF('Machine Fixed Monthly Cost VS I'!N35="","",'Machine Fixed Monthly Cost VS I'!N35)</f>
        <v>-967.91666666666652</v>
      </c>
      <c r="E469" s="209" t="str">
        <f>IF('Monthly Running Cost'!F36="","",'Monthly Running Cost'!F36)</f>
        <v/>
      </c>
    </row>
    <row r="470" spans="1:5" x14ac:dyDescent="0.3">
      <c r="A470" s="208" t="s">
        <v>204</v>
      </c>
      <c r="B470" s="207">
        <f>IF('Machine Fixed Monthly Cost VS I'!P35="","",'Machine Fixed Monthly Cost VS I'!P35)</f>
        <v>1380</v>
      </c>
      <c r="C470" s="207">
        <f>IF('Machine Fixed Monthly Cost VS I'!Q35="","",'Machine Fixed Monthly Cost VS I'!Q35)</f>
        <v>2347.9166666666665</v>
      </c>
      <c r="D470" s="207">
        <f>IF('Machine Fixed Monthly Cost VS I'!R35="","",'Machine Fixed Monthly Cost VS I'!R35)</f>
        <v>-967.91666666666652</v>
      </c>
      <c r="E470" s="209" t="str">
        <f>IF('Monthly Running Cost'!H36="","",'Monthly Running Cost'!H36)</f>
        <v/>
      </c>
    </row>
    <row r="471" spans="1:5" x14ac:dyDescent="0.3">
      <c r="A471" s="208" t="s">
        <v>205</v>
      </c>
      <c r="B471" s="207">
        <f>IF('Machine Fixed Monthly Cost VS I'!T35="","",'Machine Fixed Monthly Cost VS I'!T35)</f>
        <v>1380</v>
      </c>
      <c r="C471" s="207">
        <f>IF('Machine Fixed Monthly Cost VS I'!U35="","",'Machine Fixed Monthly Cost VS I'!U35)</f>
        <v>2347.9166666666665</v>
      </c>
      <c r="D471" s="207">
        <f>IF('Machine Fixed Monthly Cost VS I'!V35="","",'Machine Fixed Monthly Cost VS I'!V35)</f>
        <v>-967.91666666666652</v>
      </c>
      <c r="E471" s="209" t="str">
        <f>IF('Monthly Running Cost'!J36="","",'Monthly Running Cost'!J36)</f>
        <v/>
      </c>
    </row>
    <row r="472" spans="1:5" x14ac:dyDescent="0.3">
      <c r="A472" s="208" t="s">
        <v>206</v>
      </c>
      <c r="B472" s="207">
        <f>IF('Machine Fixed Monthly Cost VS I'!X35="","",'Machine Fixed Monthly Cost VS I'!X35)</f>
        <v>1380</v>
      </c>
      <c r="C472" s="207">
        <f>IF('Machine Fixed Monthly Cost VS I'!Y35="","",'Machine Fixed Monthly Cost VS I'!Y35)</f>
        <v>2347.9166666666665</v>
      </c>
      <c r="D472" s="207">
        <f>IF('Machine Fixed Monthly Cost VS I'!Z35="","",'Machine Fixed Monthly Cost VS I'!Z35)</f>
        <v>-967.91666666666652</v>
      </c>
      <c r="E472" s="209" t="str">
        <f>IF('Monthly Running Cost'!L36="","",'Monthly Running Cost'!L36)</f>
        <v/>
      </c>
    </row>
    <row r="473" spans="1:5" x14ac:dyDescent="0.3">
      <c r="A473" s="208" t="s">
        <v>207</v>
      </c>
      <c r="B473" s="207">
        <f>IF('Machine Fixed Monthly Cost VS I'!AB35="","",'Machine Fixed Monthly Cost VS I'!AB35)</f>
        <v>1380</v>
      </c>
      <c r="C473" s="207">
        <f>IF('Machine Fixed Monthly Cost VS I'!AC35="","",'Machine Fixed Monthly Cost VS I'!AC35)</f>
        <v>2347.9166666666665</v>
      </c>
      <c r="D473" s="207">
        <f>IF('Machine Fixed Monthly Cost VS I'!AD35="","",'Machine Fixed Monthly Cost VS I'!AD35)</f>
        <v>-967.91666666666652</v>
      </c>
      <c r="E473" s="209" t="str">
        <f>IF('Monthly Running Cost'!N36="","",'Monthly Running Cost'!N36)</f>
        <v/>
      </c>
    </row>
    <row r="474" spans="1:5" x14ac:dyDescent="0.3">
      <c r="A474" s="208" t="s">
        <v>208</v>
      </c>
      <c r="B474" s="207">
        <f>IF('Machine Fixed Monthly Cost VS I'!AF35="","",'Machine Fixed Monthly Cost VS I'!AF35)</f>
        <v>1380</v>
      </c>
      <c r="C474" s="207">
        <f>IF('Machine Fixed Monthly Cost VS I'!AG35="","",'Machine Fixed Monthly Cost VS I'!AG35)</f>
        <v>2347.9166666666665</v>
      </c>
      <c r="D474" s="207">
        <f>IF('Machine Fixed Monthly Cost VS I'!AH35="","",'Machine Fixed Monthly Cost VS I'!AH35)</f>
        <v>-967.91666666666652</v>
      </c>
      <c r="E474" s="209" t="str">
        <f>IF('Monthly Running Cost'!P36="","",'Monthly Running Cost'!P36)</f>
        <v/>
      </c>
    </row>
    <row r="475" spans="1:5" x14ac:dyDescent="0.3">
      <c r="A475" s="208" t="s">
        <v>209</v>
      </c>
      <c r="B475" s="207">
        <f>IF('Machine Fixed Monthly Cost VS I'!AJ35="","",'Machine Fixed Monthly Cost VS I'!AJ35)</f>
        <v>1380</v>
      </c>
      <c r="C475" s="207">
        <f>IF('Machine Fixed Monthly Cost VS I'!AK35="","",'Machine Fixed Monthly Cost VS I'!AK35)</f>
        <v>2347.9166666666665</v>
      </c>
      <c r="D475" s="207">
        <f>IF('Machine Fixed Monthly Cost VS I'!AL35="","",'Machine Fixed Monthly Cost VS I'!AL35)</f>
        <v>-967.91666666666652</v>
      </c>
      <c r="E475" s="209" t="str">
        <f>IF('Monthly Running Cost'!R36="","",'Monthly Running Cost'!R36)</f>
        <v/>
      </c>
    </row>
    <row r="476" spans="1:5" x14ac:dyDescent="0.3">
      <c r="A476" s="208" t="s">
        <v>210</v>
      </c>
      <c r="B476" s="207" t="str">
        <f>IF('Machine Fixed Monthly Cost VS I'!AN35="","",'Machine Fixed Monthly Cost VS I'!AN35)</f>
        <v/>
      </c>
      <c r="C476" s="207">
        <f>IF('Machine Fixed Monthly Cost VS I'!AO35="","",'Machine Fixed Monthly Cost VS I'!AO35)</f>
        <v>2347.9166666666665</v>
      </c>
      <c r="D476" s="207" t="str">
        <f>IF('Machine Fixed Monthly Cost VS I'!AP35="","",'Machine Fixed Monthly Cost VS I'!AP35)</f>
        <v/>
      </c>
      <c r="E476" s="209" t="str">
        <f>IF('Monthly Running Cost'!T36="","",'Monthly Running Cost'!T36)</f>
        <v/>
      </c>
    </row>
    <row r="477" spans="1:5" x14ac:dyDescent="0.3">
      <c r="A477" s="208" t="s">
        <v>211</v>
      </c>
      <c r="B477" s="207" t="str">
        <f>IF('Machine Fixed Monthly Cost VS I'!AR35="","",'Machine Fixed Monthly Cost VS I'!AR35)</f>
        <v/>
      </c>
      <c r="C477" s="207">
        <f>IF('Machine Fixed Monthly Cost VS I'!AS35="","",'Machine Fixed Monthly Cost VS I'!AS35)</f>
        <v>2347.9166666666665</v>
      </c>
      <c r="D477" s="207" t="str">
        <f>IF('Machine Fixed Monthly Cost VS I'!AT35="","",'Machine Fixed Monthly Cost VS I'!AT35)</f>
        <v/>
      </c>
      <c r="E477" s="209" t="str">
        <f>IF('Monthly Running Cost'!V36="","",'Monthly Running Cost'!V36)</f>
        <v/>
      </c>
    </row>
    <row r="478" spans="1:5" x14ac:dyDescent="0.3">
      <c r="A478" s="208" t="s">
        <v>212</v>
      </c>
      <c r="B478" s="207" t="str">
        <f>IF('Machine Fixed Monthly Cost VS I'!AV35="","",'Machine Fixed Monthly Cost VS I'!AV35)</f>
        <v/>
      </c>
      <c r="C478" s="207">
        <f>IF('Machine Fixed Monthly Cost VS I'!AW35="","",'Machine Fixed Monthly Cost VS I'!AW35)</f>
        <v>2347.9166666666665</v>
      </c>
      <c r="D478" s="207" t="str">
        <f>IF('Machine Fixed Monthly Cost VS I'!AX35="","",'Machine Fixed Monthly Cost VS I'!AX35)</f>
        <v/>
      </c>
      <c r="E478" s="209" t="str">
        <f>IF('Monthly Running Cost'!X36="","",'Monthly Running Cost'!X36)</f>
        <v/>
      </c>
    </row>
    <row r="479" spans="1:5" x14ac:dyDescent="0.3">
      <c r="A479" s="208" t="s">
        <v>213</v>
      </c>
      <c r="B479" s="207" t="str">
        <f>IF('Machine Fixed Monthly Cost VS I'!AZ35="","",'Machine Fixed Monthly Cost VS I'!AZ35)</f>
        <v/>
      </c>
      <c r="C479" s="207">
        <f>IF('Machine Fixed Monthly Cost VS I'!BA35="","",'Machine Fixed Monthly Cost VS I'!BA35)</f>
        <v>2347.9166666666665</v>
      </c>
      <c r="D479" s="207" t="str">
        <f>IF('Machine Fixed Monthly Cost VS I'!BB35="","",'Machine Fixed Monthly Cost VS I'!BB35)</f>
        <v/>
      </c>
      <c r="E479" s="209" t="str">
        <f>IF('Monthly Running Cost'!Z36="","",'Monthly Running Cost'!Z36)</f>
        <v/>
      </c>
    </row>
    <row r="480" spans="1:5" x14ac:dyDescent="0.3">
      <c r="E480" s="209"/>
    </row>
    <row r="481" spans="1:5" x14ac:dyDescent="0.3">
      <c r="A481" s="246" t="s">
        <v>240</v>
      </c>
      <c r="B481" s="246"/>
      <c r="C481" s="246"/>
      <c r="D481" s="246"/>
      <c r="E481" s="209"/>
    </row>
    <row r="482" spans="1:5" x14ac:dyDescent="0.3">
      <c r="A482" s="204" t="s">
        <v>199</v>
      </c>
      <c r="B482" s="205" t="s">
        <v>200</v>
      </c>
      <c r="C482" s="205" t="s">
        <v>201</v>
      </c>
      <c r="D482" s="206" t="s">
        <v>129</v>
      </c>
      <c r="E482" s="210" t="s">
        <v>248</v>
      </c>
    </row>
    <row r="483" spans="1:5" x14ac:dyDescent="0.3">
      <c r="A483" s="208" t="s">
        <v>202</v>
      </c>
      <c r="B483" s="207" t="str">
        <f>IF('Machine Fixed Monthly Cost VS I'!H36="","",'Machine Fixed Monthly Cost VS I'!H36)</f>
        <v/>
      </c>
      <c r="C483" s="207">
        <f>IF('Machine Fixed Monthly Cost VS I'!I36="","",'Machine Fixed Monthly Cost VS I'!I36)</f>
        <v>3018.7499999999991</v>
      </c>
      <c r="D483" s="207">
        <f>IF('Machine Fixed Monthly Cost VS I'!J36="","",'Machine Fixed Monthly Cost VS I'!J36)</f>
        <v>-3018.7499999999991</v>
      </c>
      <c r="E483" s="209" t="str">
        <f>IF('Monthly Running Cost'!D37="","",'Monthly Running Cost'!D37)</f>
        <v/>
      </c>
    </row>
    <row r="484" spans="1:5" x14ac:dyDescent="0.3">
      <c r="A484" s="208" t="s">
        <v>203</v>
      </c>
      <c r="B484" s="207">
        <f>IF('Machine Fixed Monthly Cost VS I'!L36="","",'Machine Fixed Monthly Cost VS I'!L36)</f>
        <v>1380</v>
      </c>
      <c r="C484" s="207">
        <f>IF('Machine Fixed Monthly Cost VS I'!M36="","",'Machine Fixed Monthly Cost VS I'!M36)</f>
        <v>3018.7499999999991</v>
      </c>
      <c r="D484" s="207">
        <f>IF('Machine Fixed Monthly Cost VS I'!N36="","",'Machine Fixed Monthly Cost VS I'!N36)</f>
        <v>-1638.7499999999991</v>
      </c>
      <c r="E484" s="209" t="str">
        <f>IF('Monthly Running Cost'!F37="","",'Monthly Running Cost'!F37)</f>
        <v/>
      </c>
    </row>
    <row r="485" spans="1:5" x14ac:dyDescent="0.3">
      <c r="A485" s="208" t="s">
        <v>204</v>
      </c>
      <c r="B485" s="207">
        <f>IF('Machine Fixed Monthly Cost VS I'!P36="","",'Machine Fixed Monthly Cost VS I'!P36)</f>
        <v>1380</v>
      </c>
      <c r="C485" s="207">
        <f>IF('Machine Fixed Monthly Cost VS I'!Q36="","",'Machine Fixed Monthly Cost VS I'!Q36)</f>
        <v>3018.7499999999991</v>
      </c>
      <c r="D485" s="207">
        <f>IF('Machine Fixed Monthly Cost VS I'!R36="","",'Machine Fixed Monthly Cost VS I'!R36)</f>
        <v>-1638.7499999999991</v>
      </c>
      <c r="E485" s="209" t="str">
        <f>IF('Monthly Running Cost'!H37="","",'Monthly Running Cost'!H37)</f>
        <v/>
      </c>
    </row>
    <row r="486" spans="1:5" x14ac:dyDescent="0.3">
      <c r="A486" s="208" t="s">
        <v>205</v>
      </c>
      <c r="B486" s="207">
        <f>IF('Machine Fixed Monthly Cost VS I'!T36="","",'Machine Fixed Monthly Cost VS I'!T36)</f>
        <v>1380</v>
      </c>
      <c r="C486" s="207">
        <f>IF('Machine Fixed Monthly Cost VS I'!U36="","",'Machine Fixed Monthly Cost VS I'!U36)</f>
        <v>3018.7499999999991</v>
      </c>
      <c r="D486" s="207">
        <f>IF('Machine Fixed Monthly Cost VS I'!V36="","",'Machine Fixed Monthly Cost VS I'!V36)</f>
        <v>-1638.7499999999991</v>
      </c>
      <c r="E486" s="209" t="str">
        <f>IF('Monthly Running Cost'!J37="","",'Monthly Running Cost'!J37)</f>
        <v/>
      </c>
    </row>
    <row r="487" spans="1:5" x14ac:dyDescent="0.3">
      <c r="A487" s="208" t="s">
        <v>206</v>
      </c>
      <c r="B487" s="207">
        <f>IF('Machine Fixed Monthly Cost VS I'!X36="","",'Machine Fixed Monthly Cost VS I'!X36)</f>
        <v>1380</v>
      </c>
      <c r="C487" s="207">
        <f>IF('Machine Fixed Monthly Cost VS I'!Y36="","",'Machine Fixed Monthly Cost VS I'!Y36)</f>
        <v>3018.7499999999991</v>
      </c>
      <c r="D487" s="207">
        <f>IF('Machine Fixed Monthly Cost VS I'!Z36="","",'Machine Fixed Monthly Cost VS I'!Z36)</f>
        <v>-1638.7499999999991</v>
      </c>
      <c r="E487" s="209" t="str">
        <f>IF('Monthly Running Cost'!L37="","",'Monthly Running Cost'!L37)</f>
        <v/>
      </c>
    </row>
    <row r="488" spans="1:5" x14ac:dyDescent="0.3">
      <c r="A488" s="208" t="s">
        <v>207</v>
      </c>
      <c r="B488" s="207">
        <f>IF('Machine Fixed Monthly Cost VS I'!AB36="","",'Machine Fixed Monthly Cost VS I'!AB36)</f>
        <v>1380</v>
      </c>
      <c r="C488" s="207">
        <f>IF('Machine Fixed Monthly Cost VS I'!AC36="","",'Machine Fixed Monthly Cost VS I'!AC36)</f>
        <v>3018.7499999999991</v>
      </c>
      <c r="D488" s="207">
        <f>IF('Machine Fixed Monthly Cost VS I'!AD36="","",'Machine Fixed Monthly Cost VS I'!AD36)</f>
        <v>-1638.7499999999991</v>
      </c>
      <c r="E488" s="209" t="str">
        <f>IF('Monthly Running Cost'!N37="","",'Monthly Running Cost'!N37)</f>
        <v/>
      </c>
    </row>
    <row r="489" spans="1:5" x14ac:dyDescent="0.3">
      <c r="A489" s="208" t="s">
        <v>208</v>
      </c>
      <c r="B489" s="207">
        <f>IF('Machine Fixed Monthly Cost VS I'!AF36="","",'Machine Fixed Monthly Cost VS I'!AF36)</f>
        <v>1380</v>
      </c>
      <c r="C489" s="207">
        <f>IF('Machine Fixed Monthly Cost VS I'!AG36="","",'Machine Fixed Monthly Cost VS I'!AG36)</f>
        <v>3018.7499999999991</v>
      </c>
      <c r="D489" s="207">
        <f>IF('Machine Fixed Monthly Cost VS I'!AH36="","",'Machine Fixed Monthly Cost VS I'!AH36)</f>
        <v>-1638.7499999999991</v>
      </c>
      <c r="E489" s="209" t="str">
        <f>IF('Monthly Running Cost'!P37="","",'Monthly Running Cost'!P37)</f>
        <v/>
      </c>
    </row>
    <row r="490" spans="1:5" x14ac:dyDescent="0.3">
      <c r="A490" s="208" t="s">
        <v>209</v>
      </c>
      <c r="B490" s="207">
        <f>IF('Machine Fixed Monthly Cost VS I'!AJ36="","",'Machine Fixed Monthly Cost VS I'!AJ36)</f>
        <v>1380</v>
      </c>
      <c r="C490" s="207">
        <f>IF('Machine Fixed Monthly Cost VS I'!AK36="","",'Machine Fixed Monthly Cost VS I'!AK36)</f>
        <v>3018.7499999999991</v>
      </c>
      <c r="D490" s="207">
        <f>IF('Machine Fixed Monthly Cost VS I'!AL36="","",'Machine Fixed Monthly Cost VS I'!AL36)</f>
        <v>-1638.7499999999991</v>
      </c>
      <c r="E490" s="209" t="str">
        <f>IF('Monthly Running Cost'!R37="","",'Monthly Running Cost'!R37)</f>
        <v/>
      </c>
    </row>
    <row r="491" spans="1:5" x14ac:dyDescent="0.3">
      <c r="A491" s="208" t="s">
        <v>210</v>
      </c>
      <c r="B491" s="207" t="str">
        <f>IF('Machine Fixed Monthly Cost VS I'!AN36="","",'Machine Fixed Monthly Cost VS I'!AN36)</f>
        <v/>
      </c>
      <c r="C491" s="207">
        <f>IF('Machine Fixed Monthly Cost VS I'!AO36="","",'Machine Fixed Monthly Cost VS I'!AO36)</f>
        <v>3018.7499999999991</v>
      </c>
      <c r="D491" s="207" t="str">
        <f>IF('Machine Fixed Monthly Cost VS I'!AP36="","",'Machine Fixed Monthly Cost VS I'!AP36)</f>
        <v/>
      </c>
      <c r="E491" s="209" t="str">
        <f>IF('Monthly Running Cost'!T37="","",'Monthly Running Cost'!T37)</f>
        <v/>
      </c>
    </row>
    <row r="492" spans="1:5" x14ac:dyDescent="0.3">
      <c r="A492" s="208" t="s">
        <v>211</v>
      </c>
      <c r="B492" s="207" t="str">
        <f>IF('Machine Fixed Monthly Cost VS I'!AR36="","",'Machine Fixed Monthly Cost VS I'!AR36)</f>
        <v/>
      </c>
      <c r="C492" s="207">
        <f>IF('Machine Fixed Monthly Cost VS I'!AS36="","",'Machine Fixed Monthly Cost VS I'!AS36)</f>
        <v>3018.7499999999991</v>
      </c>
      <c r="D492" s="207" t="str">
        <f>IF('Machine Fixed Monthly Cost VS I'!AT36="","",'Machine Fixed Monthly Cost VS I'!AT36)</f>
        <v/>
      </c>
      <c r="E492" s="209" t="str">
        <f>IF('Monthly Running Cost'!V37="","",'Monthly Running Cost'!V37)</f>
        <v/>
      </c>
    </row>
    <row r="493" spans="1:5" x14ac:dyDescent="0.3">
      <c r="A493" s="208" t="s">
        <v>212</v>
      </c>
      <c r="B493" s="207" t="str">
        <f>IF('Machine Fixed Monthly Cost VS I'!AV36="","",'Machine Fixed Monthly Cost VS I'!AV36)</f>
        <v/>
      </c>
      <c r="C493" s="207">
        <f>IF('Machine Fixed Monthly Cost VS I'!AW36="","",'Machine Fixed Monthly Cost VS I'!AW36)</f>
        <v>3018.7499999999991</v>
      </c>
      <c r="D493" s="207" t="str">
        <f>IF('Machine Fixed Monthly Cost VS I'!AX36="","",'Machine Fixed Monthly Cost VS I'!AX36)</f>
        <v/>
      </c>
      <c r="E493" s="209" t="str">
        <f>IF('Monthly Running Cost'!X37="","",'Monthly Running Cost'!X37)</f>
        <v/>
      </c>
    </row>
    <row r="494" spans="1:5" x14ac:dyDescent="0.3">
      <c r="A494" s="208" t="s">
        <v>213</v>
      </c>
      <c r="B494" s="207" t="str">
        <f>IF('Machine Fixed Monthly Cost VS I'!AZ36="","",'Machine Fixed Monthly Cost VS I'!AZ36)</f>
        <v/>
      </c>
      <c r="C494" s="207">
        <f>IF('Machine Fixed Monthly Cost VS I'!BA36="","",'Machine Fixed Monthly Cost VS I'!BA36)</f>
        <v>3018.7499999999991</v>
      </c>
      <c r="D494" s="207" t="str">
        <f>IF('Machine Fixed Monthly Cost VS I'!BB36="","",'Machine Fixed Monthly Cost VS I'!BB36)</f>
        <v/>
      </c>
      <c r="E494" s="209" t="str">
        <f>IF('Monthly Running Cost'!Z37="","",'Monthly Running Cost'!Z37)</f>
        <v/>
      </c>
    </row>
    <row r="495" spans="1:5" x14ac:dyDescent="0.3">
      <c r="E495" s="209"/>
    </row>
    <row r="496" spans="1:5" x14ac:dyDescent="0.3">
      <c r="A496" s="246" t="s">
        <v>241</v>
      </c>
      <c r="B496" s="246"/>
      <c r="C496" s="246"/>
      <c r="D496" s="246"/>
      <c r="E496" s="209"/>
    </row>
    <row r="497" spans="1:5" x14ac:dyDescent="0.3">
      <c r="A497" s="204" t="s">
        <v>199</v>
      </c>
      <c r="B497" s="205" t="s">
        <v>200</v>
      </c>
      <c r="C497" s="205" t="s">
        <v>201</v>
      </c>
      <c r="D497" s="206" t="s">
        <v>129</v>
      </c>
      <c r="E497" s="210" t="s">
        <v>248</v>
      </c>
    </row>
    <row r="498" spans="1:5" x14ac:dyDescent="0.3">
      <c r="A498" s="208" t="s">
        <v>202</v>
      </c>
      <c r="B498" s="207" t="str">
        <f>IF('Machine Fixed Monthly Cost VS I'!H37="","",'Machine Fixed Monthly Cost VS I'!H37)</f>
        <v/>
      </c>
      <c r="C498" s="207">
        <f>IF('Machine Fixed Monthly Cost VS I'!I37="","",'Machine Fixed Monthly Cost VS I'!I37)</f>
        <v>2347.9166666666665</v>
      </c>
      <c r="D498" s="207">
        <f>IF('Machine Fixed Monthly Cost VS I'!J37="","",'Machine Fixed Monthly Cost VS I'!J37)</f>
        <v>-2347.9166666666665</v>
      </c>
      <c r="E498" s="209" t="str">
        <f>IF('Monthly Running Cost'!D38="","",'Monthly Running Cost'!D38)</f>
        <v/>
      </c>
    </row>
    <row r="499" spans="1:5" x14ac:dyDescent="0.3">
      <c r="A499" s="208" t="s">
        <v>203</v>
      </c>
      <c r="B499" s="207">
        <f>IF('Machine Fixed Monthly Cost VS I'!L37="","",'Machine Fixed Monthly Cost VS I'!L37)</f>
        <v>1380</v>
      </c>
      <c r="C499" s="207">
        <f>IF('Machine Fixed Monthly Cost VS I'!M37="","",'Machine Fixed Monthly Cost VS I'!M37)</f>
        <v>2347.9166666666665</v>
      </c>
      <c r="D499" s="207">
        <f>IF('Machine Fixed Monthly Cost VS I'!N37="","",'Machine Fixed Monthly Cost VS I'!N37)</f>
        <v>-967.91666666666652</v>
      </c>
      <c r="E499" s="209" t="str">
        <f>IF('Monthly Running Cost'!F38="","",'Monthly Running Cost'!F38)</f>
        <v/>
      </c>
    </row>
    <row r="500" spans="1:5" x14ac:dyDescent="0.3">
      <c r="A500" s="208" t="s">
        <v>204</v>
      </c>
      <c r="B500" s="207">
        <f>IF('Machine Fixed Monthly Cost VS I'!P37="","",'Machine Fixed Monthly Cost VS I'!P37)</f>
        <v>1380</v>
      </c>
      <c r="C500" s="207">
        <f>IF('Machine Fixed Monthly Cost VS I'!Q37="","",'Machine Fixed Monthly Cost VS I'!Q37)</f>
        <v>2347.9166666666665</v>
      </c>
      <c r="D500" s="207">
        <f>IF('Machine Fixed Monthly Cost VS I'!R37="","",'Machine Fixed Monthly Cost VS I'!R37)</f>
        <v>-967.91666666666652</v>
      </c>
      <c r="E500" s="209" t="str">
        <f>IF('Monthly Running Cost'!H38="","",'Monthly Running Cost'!H38)</f>
        <v/>
      </c>
    </row>
    <row r="501" spans="1:5" x14ac:dyDescent="0.3">
      <c r="A501" s="208" t="s">
        <v>205</v>
      </c>
      <c r="B501" s="207">
        <f>IF('Machine Fixed Monthly Cost VS I'!T37="","",'Machine Fixed Monthly Cost VS I'!T37)</f>
        <v>1380</v>
      </c>
      <c r="C501" s="207">
        <f>IF('Machine Fixed Monthly Cost VS I'!U37="","",'Machine Fixed Monthly Cost VS I'!U37)</f>
        <v>2347.9166666666665</v>
      </c>
      <c r="D501" s="207">
        <f>IF('Machine Fixed Monthly Cost VS I'!V37="","",'Machine Fixed Monthly Cost VS I'!V37)</f>
        <v>-967.91666666666652</v>
      </c>
      <c r="E501" s="209" t="str">
        <f>IF('Monthly Running Cost'!J38="","",'Monthly Running Cost'!J38)</f>
        <v/>
      </c>
    </row>
    <row r="502" spans="1:5" x14ac:dyDescent="0.3">
      <c r="A502" s="208" t="s">
        <v>206</v>
      </c>
      <c r="B502" s="207">
        <f>IF('Machine Fixed Monthly Cost VS I'!X37="","",'Machine Fixed Monthly Cost VS I'!X37)</f>
        <v>1380</v>
      </c>
      <c r="C502" s="207">
        <f>IF('Machine Fixed Monthly Cost VS I'!Y37="","",'Machine Fixed Monthly Cost VS I'!Y37)</f>
        <v>2347.9166666666665</v>
      </c>
      <c r="D502" s="207">
        <f>IF('Machine Fixed Monthly Cost VS I'!Z37="","",'Machine Fixed Monthly Cost VS I'!Z37)</f>
        <v>-967.91666666666652</v>
      </c>
      <c r="E502" s="209" t="str">
        <f>IF('Monthly Running Cost'!L38="","",'Monthly Running Cost'!L38)</f>
        <v/>
      </c>
    </row>
    <row r="503" spans="1:5" x14ac:dyDescent="0.3">
      <c r="A503" s="208" t="s">
        <v>207</v>
      </c>
      <c r="B503" s="207">
        <f>IF('Machine Fixed Monthly Cost VS I'!AB37="","",'Machine Fixed Monthly Cost VS I'!AB37)</f>
        <v>1380</v>
      </c>
      <c r="C503" s="207">
        <f>IF('Machine Fixed Monthly Cost VS I'!AC37="","",'Machine Fixed Monthly Cost VS I'!AC37)</f>
        <v>2347.9166666666665</v>
      </c>
      <c r="D503" s="207">
        <f>IF('Machine Fixed Monthly Cost VS I'!AD37="","",'Machine Fixed Monthly Cost VS I'!AD37)</f>
        <v>-967.91666666666652</v>
      </c>
      <c r="E503" s="209" t="str">
        <f>IF('Monthly Running Cost'!N38="","",'Monthly Running Cost'!N38)</f>
        <v/>
      </c>
    </row>
    <row r="504" spans="1:5" x14ac:dyDescent="0.3">
      <c r="A504" s="208" t="s">
        <v>208</v>
      </c>
      <c r="B504" s="207">
        <f>IF('Machine Fixed Monthly Cost VS I'!AF37="","",'Machine Fixed Monthly Cost VS I'!AF37)</f>
        <v>1380</v>
      </c>
      <c r="C504" s="207">
        <f>IF('Machine Fixed Monthly Cost VS I'!AG37="","",'Machine Fixed Monthly Cost VS I'!AG37)</f>
        <v>2347.9166666666665</v>
      </c>
      <c r="D504" s="207">
        <f>IF('Machine Fixed Monthly Cost VS I'!AH37="","",'Machine Fixed Monthly Cost VS I'!AH37)</f>
        <v>-967.91666666666652</v>
      </c>
      <c r="E504" s="209" t="str">
        <f>IF('Monthly Running Cost'!P38="","",'Monthly Running Cost'!P38)</f>
        <v/>
      </c>
    </row>
    <row r="505" spans="1:5" x14ac:dyDescent="0.3">
      <c r="A505" s="208" t="s">
        <v>209</v>
      </c>
      <c r="B505" s="207">
        <f>IF('Machine Fixed Monthly Cost VS I'!AJ37="","",'Machine Fixed Monthly Cost VS I'!AJ37)</f>
        <v>1380</v>
      </c>
      <c r="C505" s="207">
        <f>IF('Machine Fixed Monthly Cost VS I'!AK37="","",'Machine Fixed Monthly Cost VS I'!AK37)</f>
        <v>2347.9166666666665</v>
      </c>
      <c r="D505" s="207">
        <f>IF('Machine Fixed Monthly Cost VS I'!AL37="","",'Machine Fixed Monthly Cost VS I'!AL37)</f>
        <v>-967.91666666666652</v>
      </c>
      <c r="E505" s="209" t="str">
        <f>IF('Monthly Running Cost'!R38="","",'Monthly Running Cost'!R38)</f>
        <v/>
      </c>
    </row>
    <row r="506" spans="1:5" x14ac:dyDescent="0.3">
      <c r="A506" s="208" t="s">
        <v>210</v>
      </c>
      <c r="B506" s="207" t="str">
        <f>IF('Machine Fixed Monthly Cost VS I'!AN37="","",'Machine Fixed Monthly Cost VS I'!AN37)</f>
        <v/>
      </c>
      <c r="C506" s="207">
        <f>IF('Machine Fixed Monthly Cost VS I'!AO37="","",'Machine Fixed Monthly Cost VS I'!AO37)</f>
        <v>2347.9166666666665</v>
      </c>
      <c r="D506" s="207" t="str">
        <f>IF('Machine Fixed Monthly Cost VS I'!AP37="","",'Machine Fixed Monthly Cost VS I'!AP37)</f>
        <v/>
      </c>
      <c r="E506" s="209" t="str">
        <f>IF('Monthly Running Cost'!T38="","",'Monthly Running Cost'!T38)</f>
        <v/>
      </c>
    </row>
    <row r="507" spans="1:5" x14ac:dyDescent="0.3">
      <c r="A507" s="208" t="s">
        <v>211</v>
      </c>
      <c r="B507" s="207" t="str">
        <f>IF('Machine Fixed Monthly Cost VS I'!AR37="","",'Machine Fixed Monthly Cost VS I'!AR37)</f>
        <v/>
      </c>
      <c r="C507" s="207">
        <f>IF('Machine Fixed Monthly Cost VS I'!AS37="","",'Machine Fixed Monthly Cost VS I'!AS37)</f>
        <v>2347.9166666666665</v>
      </c>
      <c r="D507" s="207" t="str">
        <f>IF('Machine Fixed Monthly Cost VS I'!AT37="","",'Machine Fixed Monthly Cost VS I'!AT37)</f>
        <v/>
      </c>
      <c r="E507" s="209" t="str">
        <f>IF('Monthly Running Cost'!V38="","",'Monthly Running Cost'!V38)</f>
        <v/>
      </c>
    </row>
    <row r="508" spans="1:5" x14ac:dyDescent="0.3">
      <c r="A508" s="208" t="s">
        <v>212</v>
      </c>
      <c r="B508" s="207" t="str">
        <f>IF('Machine Fixed Monthly Cost VS I'!AV37="","",'Machine Fixed Monthly Cost VS I'!AV37)</f>
        <v/>
      </c>
      <c r="C508" s="207">
        <f>IF('Machine Fixed Monthly Cost VS I'!AW37="","",'Machine Fixed Monthly Cost VS I'!AW37)</f>
        <v>2347.9166666666665</v>
      </c>
      <c r="D508" s="207" t="str">
        <f>IF('Machine Fixed Monthly Cost VS I'!AX37="","",'Machine Fixed Monthly Cost VS I'!AX37)</f>
        <v/>
      </c>
      <c r="E508" s="209" t="str">
        <f>IF('Monthly Running Cost'!X38="","",'Monthly Running Cost'!X38)</f>
        <v/>
      </c>
    </row>
    <row r="509" spans="1:5" x14ac:dyDescent="0.3">
      <c r="A509" s="208" t="s">
        <v>213</v>
      </c>
      <c r="B509" s="207" t="str">
        <f>IF('Machine Fixed Monthly Cost VS I'!AZ37="","",'Machine Fixed Monthly Cost VS I'!AZ37)</f>
        <v/>
      </c>
      <c r="C509" s="207">
        <f>IF('Machine Fixed Monthly Cost VS I'!BA37="","",'Machine Fixed Monthly Cost VS I'!BA37)</f>
        <v>2347.9166666666665</v>
      </c>
      <c r="D509" s="207" t="str">
        <f>IF('Machine Fixed Monthly Cost VS I'!BB37="","",'Machine Fixed Monthly Cost VS I'!BB37)</f>
        <v/>
      </c>
      <c r="E509" s="209" t="str">
        <f>IF('Monthly Running Cost'!Z38="","",'Monthly Running Cost'!Z38)</f>
        <v/>
      </c>
    </row>
    <row r="510" spans="1:5" x14ac:dyDescent="0.3">
      <c r="E510" s="209"/>
    </row>
    <row r="511" spans="1:5" x14ac:dyDescent="0.3">
      <c r="A511" s="246" t="s">
        <v>242</v>
      </c>
      <c r="B511" s="246"/>
      <c r="C511" s="246"/>
      <c r="D511" s="246"/>
      <c r="E511" s="209"/>
    </row>
    <row r="512" spans="1:5" x14ac:dyDescent="0.3">
      <c r="A512" s="204" t="s">
        <v>199</v>
      </c>
      <c r="B512" s="205" t="s">
        <v>200</v>
      </c>
      <c r="C512" s="205" t="s">
        <v>201</v>
      </c>
      <c r="D512" s="206" t="s">
        <v>129</v>
      </c>
      <c r="E512" s="210" t="s">
        <v>248</v>
      </c>
    </row>
    <row r="513" spans="1:5" x14ac:dyDescent="0.3">
      <c r="A513" s="208" t="s">
        <v>202</v>
      </c>
      <c r="B513" s="207" t="str">
        <f>IF('Machine Fixed Monthly Cost VS I'!H38="","",'Machine Fixed Monthly Cost VS I'!H38)</f>
        <v/>
      </c>
      <c r="C513" s="207">
        <f>IF('Machine Fixed Monthly Cost VS I'!I38="","",'Machine Fixed Monthly Cost VS I'!I38)</f>
        <v>2347.9166666666665</v>
      </c>
      <c r="D513" s="207">
        <f>IF('Machine Fixed Monthly Cost VS I'!J38="","",'Machine Fixed Monthly Cost VS I'!J38)</f>
        <v>-2347.9166666666665</v>
      </c>
      <c r="E513" s="209" t="str">
        <f>IF('Monthly Running Cost'!D39="","",'Monthly Running Cost'!D39)</f>
        <v/>
      </c>
    </row>
    <row r="514" spans="1:5" x14ac:dyDescent="0.3">
      <c r="A514" s="208" t="s">
        <v>203</v>
      </c>
      <c r="B514" s="207">
        <f>IF('Machine Fixed Monthly Cost VS I'!L38="","",'Machine Fixed Monthly Cost VS I'!L38)</f>
        <v>1380</v>
      </c>
      <c r="C514" s="207">
        <f>IF('Machine Fixed Monthly Cost VS I'!M38="","",'Machine Fixed Monthly Cost VS I'!M38)</f>
        <v>2347.9166666666665</v>
      </c>
      <c r="D514" s="207">
        <f>IF('Machine Fixed Monthly Cost VS I'!N38="","",'Machine Fixed Monthly Cost VS I'!N38)</f>
        <v>-967.91666666666652</v>
      </c>
      <c r="E514" s="209" t="str">
        <f>IF('Monthly Running Cost'!F39="","",'Monthly Running Cost'!F39)</f>
        <v/>
      </c>
    </row>
    <row r="515" spans="1:5" x14ac:dyDescent="0.3">
      <c r="A515" s="208" t="s">
        <v>204</v>
      </c>
      <c r="B515" s="207">
        <f>IF('Machine Fixed Monthly Cost VS I'!P38="","",'Machine Fixed Monthly Cost VS I'!P38)</f>
        <v>1380</v>
      </c>
      <c r="C515" s="207">
        <f>IF('Machine Fixed Monthly Cost VS I'!Q38="","",'Machine Fixed Monthly Cost VS I'!Q38)</f>
        <v>2347.9166666666665</v>
      </c>
      <c r="D515" s="207">
        <f>IF('Machine Fixed Monthly Cost VS I'!R38="","",'Machine Fixed Monthly Cost VS I'!R38)</f>
        <v>-967.91666666666652</v>
      </c>
      <c r="E515" s="209" t="str">
        <f>IF('Monthly Running Cost'!H39="","",'Monthly Running Cost'!H39)</f>
        <v/>
      </c>
    </row>
    <row r="516" spans="1:5" x14ac:dyDescent="0.3">
      <c r="A516" s="208" t="s">
        <v>205</v>
      </c>
      <c r="B516" s="207">
        <f>IF('Machine Fixed Monthly Cost VS I'!T38="","",'Machine Fixed Monthly Cost VS I'!T38)</f>
        <v>1380</v>
      </c>
      <c r="C516" s="207">
        <f>IF('Machine Fixed Monthly Cost VS I'!U38="","",'Machine Fixed Monthly Cost VS I'!U38)</f>
        <v>2347.9166666666665</v>
      </c>
      <c r="D516" s="207">
        <f>IF('Machine Fixed Monthly Cost VS I'!V38="","",'Machine Fixed Monthly Cost VS I'!V38)</f>
        <v>-967.91666666666652</v>
      </c>
      <c r="E516" s="209" t="str">
        <f>IF('Monthly Running Cost'!J39="","",'Monthly Running Cost'!J39)</f>
        <v/>
      </c>
    </row>
    <row r="517" spans="1:5" x14ac:dyDescent="0.3">
      <c r="A517" s="208" t="s">
        <v>206</v>
      </c>
      <c r="B517" s="207">
        <f>IF('Machine Fixed Monthly Cost VS I'!X38="","",'Machine Fixed Monthly Cost VS I'!X38)</f>
        <v>1380</v>
      </c>
      <c r="C517" s="207">
        <f>IF('Machine Fixed Monthly Cost VS I'!Y38="","",'Machine Fixed Monthly Cost VS I'!Y38)</f>
        <v>2347.9166666666665</v>
      </c>
      <c r="D517" s="207">
        <f>IF('Machine Fixed Monthly Cost VS I'!Z38="","",'Machine Fixed Monthly Cost VS I'!Z38)</f>
        <v>-967.91666666666652</v>
      </c>
      <c r="E517" s="209" t="str">
        <f>IF('Monthly Running Cost'!L39="","",'Monthly Running Cost'!L39)</f>
        <v/>
      </c>
    </row>
    <row r="518" spans="1:5" x14ac:dyDescent="0.3">
      <c r="A518" s="208" t="s">
        <v>207</v>
      </c>
      <c r="B518" s="207">
        <f>IF('Machine Fixed Monthly Cost VS I'!AB38="","",'Machine Fixed Monthly Cost VS I'!AB38)</f>
        <v>1380</v>
      </c>
      <c r="C518" s="207">
        <f>IF('Machine Fixed Monthly Cost VS I'!AC38="","",'Machine Fixed Monthly Cost VS I'!AC38)</f>
        <v>2347.9166666666665</v>
      </c>
      <c r="D518" s="207">
        <f>IF('Machine Fixed Monthly Cost VS I'!AD38="","",'Machine Fixed Monthly Cost VS I'!AD38)</f>
        <v>-967.91666666666652</v>
      </c>
      <c r="E518" s="209" t="str">
        <f>IF('Monthly Running Cost'!N39="","",'Monthly Running Cost'!N39)</f>
        <v/>
      </c>
    </row>
    <row r="519" spans="1:5" x14ac:dyDescent="0.3">
      <c r="A519" s="208" t="s">
        <v>208</v>
      </c>
      <c r="B519" s="207">
        <f>IF('Machine Fixed Monthly Cost VS I'!AF38="","",'Machine Fixed Monthly Cost VS I'!AF38)</f>
        <v>1380</v>
      </c>
      <c r="C519" s="207">
        <f>IF('Machine Fixed Monthly Cost VS I'!AG38="","",'Machine Fixed Monthly Cost VS I'!AG38)</f>
        <v>2347.9166666666665</v>
      </c>
      <c r="D519" s="207">
        <f>IF('Machine Fixed Monthly Cost VS I'!AH38="","",'Machine Fixed Monthly Cost VS I'!AH38)</f>
        <v>-967.91666666666652</v>
      </c>
      <c r="E519" s="209" t="str">
        <f>IF('Monthly Running Cost'!P39="","",'Monthly Running Cost'!P39)</f>
        <v/>
      </c>
    </row>
    <row r="520" spans="1:5" x14ac:dyDescent="0.3">
      <c r="A520" s="208" t="s">
        <v>209</v>
      </c>
      <c r="B520" s="207">
        <f>IF('Machine Fixed Monthly Cost VS I'!AJ38="","",'Machine Fixed Monthly Cost VS I'!AJ38)</f>
        <v>1380</v>
      </c>
      <c r="C520" s="207">
        <f>IF('Machine Fixed Monthly Cost VS I'!AK38="","",'Machine Fixed Monthly Cost VS I'!AK38)</f>
        <v>2347.9166666666665</v>
      </c>
      <c r="D520" s="207">
        <f>IF('Machine Fixed Monthly Cost VS I'!AL38="","",'Machine Fixed Monthly Cost VS I'!AL38)</f>
        <v>-967.91666666666652</v>
      </c>
      <c r="E520" s="209" t="str">
        <f>IF('Monthly Running Cost'!R39="","",'Monthly Running Cost'!R39)</f>
        <v/>
      </c>
    </row>
    <row r="521" spans="1:5" x14ac:dyDescent="0.3">
      <c r="A521" s="208" t="s">
        <v>210</v>
      </c>
      <c r="B521" s="207" t="str">
        <f>IF('Machine Fixed Monthly Cost VS I'!AN38="","",'Machine Fixed Monthly Cost VS I'!AN38)</f>
        <v/>
      </c>
      <c r="C521" s="207">
        <f>IF('Machine Fixed Monthly Cost VS I'!AO38="","",'Machine Fixed Monthly Cost VS I'!AO38)</f>
        <v>2347.9166666666665</v>
      </c>
      <c r="D521" s="207" t="str">
        <f>IF('Machine Fixed Monthly Cost VS I'!AP38="","",'Machine Fixed Monthly Cost VS I'!AP38)</f>
        <v/>
      </c>
      <c r="E521" s="209" t="str">
        <f>IF('Monthly Running Cost'!T39="","",'Monthly Running Cost'!T39)</f>
        <v/>
      </c>
    </row>
    <row r="522" spans="1:5" x14ac:dyDescent="0.3">
      <c r="A522" s="208" t="s">
        <v>211</v>
      </c>
      <c r="B522" s="207" t="str">
        <f>IF('Machine Fixed Monthly Cost VS I'!AR38="","",'Machine Fixed Monthly Cost VS I'!AR38)</f>
        <v/>
      </c>
      <c r="C522" s="207">
        <f>IF('Machine Fixed Monthly Cost VS I'!AS38="","",'Machine Fixed Monthly Cost VS I'!AS38)</f>
        <v>2347.9166666666665</v>
      </c>
      <c r="D522" s="207" t="str">
        <f>IF('Machine Fixed Monthly Cost VS I'!AT38="","",'Machine Fixed Monthly Cost VS I'!AT38)</f>
        <v/>
      </c>
      <c r="E522" s="209" t="str">
        <f>IF('Monthly Running Cost'!V39="","",'Monthly Running Cost'!V39)</f>
        <v/>
      </c>
    </row>
    <row r="523" spans="1:5" x14ac:dyDescent="0.3">
      <c r="A523" s="208" t="s">
        <v>212</v>
      </c>
      <c r="B523" s="207" t="str">
        <f>IF('Machine Fixed Monthly Cost VS I'!AV38="","",'Machine Fixed Monthly Cost VS I'!AV38)</f>
        <v/>
      </c>
      <c r="C523" s="207">
        <f>IF('Machine Fixed Monthly Cost VS I'!AW38="","",'Machine Fixed Monthly Cost VS I'!AW38)</f>
        <v>2347.9166666666665</v>
      </c>
      <c r="D523" s="207" t="str">
        <f>IF('Machine Fixed Monthly Cost VS I'!AX38="","",'Machine Fixed Monthly Cost VS I'!AX38)</f>
        <v/>
      </c>
      <c r="E523" s="209" t="str">
        <f>IF('Monthly Running Cost'!X39="","",'Monthly Running Cost'!X39)</f>
        <v/>
      </c>
    </row>
    <row r="524" spans="1:5" x14ac:dyDescent="0.3">
      <c r="A524" s="208" t="s">
        <v>213</v>
      </c>
      <c r="B524" s="207" t="str">
        <f>IF('Machine Fixed Monthly Cost VS I'!AZ38="","",'Machine Fixed Monthly Cost VS I'!AZ38)</f>
        <v/>
      </c>
      <c r="C524" s="207">
        <f>IF('Machine Fixed Monthly Cost VS I'!BA38="","",'Machine Fixed Monthly Cost VS I'!BA38)</f>
        <v>2347.9166666666665</v>
      </c>
      <c r="D524" s="207" t="str">
        <f>IF('Machine Fixed Monthly Cost VS I'!BB38="","",'Machine Fixed Monthly Cost VS I'!BB38)</f>
        <v/>
      </c>
      <c r="E524" s="209" t="str">
        <f>IF('Monthly Running Cost'!Z39="","",'Monthly Running Cost'!Z39)</f>
        <v/>
      </c>
    </row>
    <row r="525" spans="1:5" x14ac:dyDescent="0.3">
      <c r="E525" s="209"/>
    </row>
    <row r="526" spans="1:5" x14ac:dyDescent="0.3">
      <c r="A526" s="246" t="s">
        <v>243</v>
      </c>
      <c r="B526" s="246"/>
      <c r="C526" s="246"/>
      <c r="D526" s="246"/>
      <c r="E526" s="209"/>
    </row>
    <row r="527" spans="1:5" x14ac:dyDescent="0.3">
      <c r="A527" s="204" t="s">
        <v>199</v>
      </c>
      <c r="B527" s="205" t="s">
        <v>200</v>
      </c>
      <c r="C527" s="205" t="s">
        <v>201</v>
      </c>
      <c r="D527" s="206" t="s">
        <v>129</v>
      </c>
      <c r="E527" s="210" t="s">
        <v>248</v>
      </c>
    </row>
    <row r="528" spans="1:5" x14ac:dyDescent="0.3">
      <c r="A528" s="208" t="s">
        <v>202</v>
      </c>
      <c r="B528" s="207" t="str">
        <f>IF('Machine Fixed Monthly Cost VS I'!H39="","",'Machine Fixed Monthly Cost VS I'!H39)</f>
        <v/>
      </c>
      <c r="C528" s="207">
        <f>IF('Machine Fixed Monthly Cost VS I'!I39="","",'Machine Fixed Monthly Cost VS I'!I39)</f>
        <v>3018.7499999999991</v>
      </c>
      <c r="D528" s="207">
        <f>IF('Machine Fixed Monthly Cost VS I'!J39="","",'Machine Fixed Monthly Cost VS I'!J39)</f>
        <v>-3018.7499999999991</v>
      </c>
      <c r="E528" s="209" t="str">
        <f>IF('Monthly Running Cost'!D40="","",'Monthly Running Cost'!D40)</f>
        <v/>
      </c>
    </row>
    <row r="529" spans="1:5" x14ac:dyDescent="0.3">
      <c r="A529" s="208" t="s">
        <v>203</v>
      </c>
      <c r="B529" s="207">
        <f>IF('Machine Fixed Monthly Cost VS I'!L39="","",'Machine Fixed Monthly Cost VS I'!L39)</f>
        <v>1380</v>
      </c>
      <c r="C529" s="207">
        <f>IF('Machine Fixed Monthly Cost VS I'!M39="","",'Machine Fixed Monthly Cost VS I'!M39)</f>
        <v>3018.7499999999991</v>
      </c>
      <c r="D529" s="207">
        <f>IF('Machine Fixed Monthly Cost VS I'!N39="","",'Machine Fixed Monthly Cost VS I'!N39)</f>
        <v>-1638.7499999999991</v>
      </c>
      <c r="E529" s="209" t="str">
        <f>IF('Monthly Running Cost'!F40="","",'Monthly Running Cost'!F40)</f>
        <v/>
      </c>
    </row>
    <row r="530" spans="1:5" x14ac:dyDescent="0.3">
      <c r="A530" s="208" t="s">
        <v>204</v>
      </c>
      <c r="B530" s="207">
        <f>IF('Machine Fixed Monthly Cost VS I'!P39="","",'Machine Fixed Monthly Cost VS I'!P39)</f>
        <v>1380</v>
      </c>
      <c r="C530" s="207">
        <f>IF('Machine Fixed Monthly Cost VS I'!Q39="","",'Machine Fixed Monthly Cost VS I'!Q39)</f>
        <v>3018.7499999999991</v>
      </c>
      <c r="D530" s="207">
        <f>IF('Machine Fixed Monthly Cost VS I'!R39="","",'Machine Fixed Monthly Cost VS I'!R39)</f>
        <v>-1638.7499999999991</v>
      </c>
      <c r="E530" s="209" t="str">
        <f>IF('Monthly Running Cost'!H40="","",'Monthly Running Cost'!H40)</f>
        <v/>
      </c>
    </row>
    <row r="531" spans="1:5" x14ac:dyDescent="0.3">
      <c r="A531" s="208" t="s">
        <v>205</v>
      </c>
      <c r="B531" s="207">
        <f>IF('Machine Fixed Monthly Cost VS I'!T39="","",'Machine Fixed Monthly Cost VS I'!T39)</f>
        <v>1380</v>
      </c>
      <c r="C531" s="207">
        <f>IF('Machine Fixed Monthly Cost VS I'!U39="","",'Machine Fixed Monthly Cost VS I'!U39)</f>
        <v>3018.7499999999991</v>
      </c>
      <c r="D531" s="207">
        <f>IF('Machine Fixed Monthly Cost VS I'!V39="","",'Machine Fixed Monthly Cost VS I'!V39)</f>
        <v>-1638.7499999999991</v>
      </c>
      <c r="E531" s="209" t="str">
        <f>IF('Monthly Running Cost'!J40="","",'Monthly Running Cost'!J40)</f>
        <v/>
      </c>
    </row>
    <row r="532" spans="1:5" x14ac:dyDescent="0.3">
      <c r="A532" s="208" t="s">
        <v>206</v>
      </c>
      <c r="B532" s="207">
        <f>IF('Machine Fixed Monthly Cost VS I'!X39="","",'Machine Fixed Monthly Cost VS I'!X39)</f>
        <v>1380</v>
      </c>
      <c r="C532" s="207">
        <f>IF('Machine Fixed Monthly Cost VS I'!Y39="","",'Machine Fixed Monthly Cost VS I'!Y39)</f>
        <v>3018.7499999999991</v>
      </c>
      <c r="D532" s="207">
        <f>IF('Machine Fixed Monthly Cost VS I'!Z39="","",'Machine Fixed Monthly Cost VS I'!Z39)</f>
        <v>-1638.7499999999991</v>
      </c>
      <c r="E532" s="209" t="str">
        <f>IF('Monthly Running Cost'!L40="","",'Monthly Running Cost'!L40)</f>
        <v/>
      </c>
    </row>
    <row r="533" spans="1:5" x14ac:dyDescent="0.3">
      <c r="A533" s="208" t="s">
        <v>207</v>
      </c>
      <c r="B533" s="207">
        <f>IF('Machine Fixed Monthly Cost VS I'!AB39="","",'Machine Fixed Monthly Cost VS I'!AB39)</f>
        <v>1380</v>
      </c>
      <c r="C533" s="207">
        <f>IF('Machine Fixed Monthly Cost VS I'!AC39="","",'Machine Fixed Monthly Cost VS I'!AC39)</f>
        <v>3018.7499999999991</v>
      </c>
      <c r="D533" s="207">
        <f>IF('Machine Fixed Monthly Cost VS I'!AD39="","",'Machine Fixed Monthly Cost VS I'!AD39)</f>
        <v>-1638.7499999999991</v>
      </c>
      <c r="E533" s="209" t="str">
        <f>IF('Monthly Running Cost'!N40="","",'Monthly Running Cost'!N40)</f>
        <v/>
      </c>
    </row>
    <row r="534" spans="1:5" x14ac:dyDescent="0.3">
      <c r="A534" s="208" t="s">
        <v>208</v>
      </c>
      <c r="B534" s="207">
        <f>IF('Machine Fixed Monthly Cost VS I'!AF39="","",'Machine Fixed Monthly Cost VS I'!AF39)</f>
        <v>1380</v>
      </c>
      <c r="C534" s="207">
        <f>IF('Machine Fixed Monthly Cost VS I'!AG39="","",'Machine Fixed Monthly Cost VS I'!AG39)</f>
        <v>3018.7499999999991</v>
      </c>
      <c r="D534" s="207">
        <f>IF('Machine Fixed Monthly Cost VS I'!AH39="","",'Machine Fixed Monthly Cost VS I'!AH39)</f>
        <v>-1638.7499999999991</v>
      </c>
      <c r="E534" s="209" t="str">
        <f>IF('Monthly Running Cost'!P40="","",'Monthly Running Cost'!P40)</f>
        <v/>
      </c>
    </row>
    <row r="535" spans="1:5" x14ac:dyDescent="0.3">
      <c r="A535" s="208" t="s">
        <v>209</v>
      </c>
      <c r="B535" s="207">
        <f>IF('Machine Fixed Monthly Cost VS I'!AJ39="","",'Machine Fixed Monthly Cost VS I'!AJ39)</f>
        <v>1380</v>
      </c>
      <c r="C535" s="207">
        <f>IF('Machine Fixed Monthly Cost VS I'!AK39="","",'Machine Fixed Monthly Cost VS I'!AK39)</f>
        <v>3018.7499999999991</v>
      </c>
      <c r="D535" s="207">
        <f>IF('Machine Fixed Monthly Cost VS I'!AL39="","",'Machine Fixed Monthly Cost VS I'!AL39)</f>
        <v>-1638.7499999999991</v>
      </c>
      <c r="E535" s="209" t="str">
        <f>IF('Monthly Running Cost'!R40="","",'Monthly Running Cost'!R40)</f>
        <v/>
      </c>
    </row>
    <row r="536" spans="1:5" x14ac:dyDescent="0.3">
      <c r="A536" s="208" t="s">
        <v>210</v>
      </c>
      <c r="B536" s="207" t="str">
        <f>IF('Machine Fixed Monthly Cost VS I'!AN39="","",'Machine Fixed Monthly Cost VS I'!AN39)</f>
        <v/>
      </c>
      <c r="C536" s="207">
        <f>IF('Machine Fixed Monthly Cost VS I'!AO39="","",'Machine Fixed Monthly Cost VS I'!AO39)</f>
        <v>3018.7499999999991</v>
      </c>
      <c r="D536" s="207" t="str">
        <f>IF('Machine Fixed Monthly Cost VS I'!AP39="","",'Machine Fixed Monthly Cost VS I'!AP39)</f>
        <v/>
      </c>
      <c r="E536" s="209" t="str">
        <f>IF('Monthly Running Cost'!T40="","",'Monthly Running Cost'!T40)</f>
        <v/>
      </c>
    </row>
    <row r="537" spans="1:5" x14ac:dyDescent="0.3">
      <c r="A537" s="208" t="s">
        <v>211</v>
      </c>
      <c r="B537" s="207" t="str">
        <f>IF('Machine Fixed Monthly Cost VS I'!AR39="","",'Machine Fixed Monthly Cost VS I'!AR39)</f>
        <v/>
      </c>
      <c r="C537" s="207">
        <f>IF('Machine Fixed Monthly Cost VS I'!AS39="","",'Machine Fixed Monthly Cost VS I'!AS39)</f>
        <v>3018.7499999999991</v>
      </c>
      <c r="D537" s="207" t="str">
        <f>IF('Machine Fixed Monthly Cost VS I'!AT39="","",'Machine Fixed Monthly Cost VS I'!AT39)</f>
        <v/>
      </c>
      <c r="E537" s="209" t="str">
        <f>IF('Monthly Running Cost'!V40="","",'Monthly Running Cost'!V40)</f>
        <v/>
      </c>
    </row>
    <row r="538" spans="1:5" x14ac:dyDescent="0.3">
      <c r="A538" s="208" t="s">
        <v>212</v>
      </c>
      <c r="B538" s="207" t="str">
        <f>IF('Machine Fixed Monthly Cost VS I'!AV39="","",'Machine Fixed Monthly Cost VS I'!AV39)</f>
        <v/>
      </c>
      <c r="C538" s="207">
        <f>IF('Machine Fixed Monthly Cost VS I'!AW39="","",'Machine Fixed Monthly Cost VS I'!AW39)</f>
        <v>3018.7499999999991</v>
      </c>
      <c r="D538" s="207" t="str">
        <f>IF('Machine Fixed Monthly Cost VS I'!AX39="","",'Machine Fixed Monthly Cost VS I'!AX39)</f>
        <v/>
      </c>
      <c r="E538" s="209" t="str">
        <f>IF('Monthly Running Cost'!X40="","",'Monthly Running Cost'!X40)</f>
        <v/>
      </c>
    </row>
    <row r="539" spans="1:5" x14ac:dyDescent="0.3">
      <c r="A539" s="208" t="s">
        <v>213</v>
      </c>
      <c r="B539" s="207" t="str">
        <f>IF('Machine Fixed Monthly Cost VS I'!AZ39="","",'Machine Fixed Monthly Cost VS I'!AZ39)</f>
        <v/>
      </c>
      <c r="C539" s="207">
        <f>IF('Machine Fixed Monthly Cost VS I'!BA39="","",'Machine Fixed Monthly Cost VS I'!BA39)</f>
        <v>3018.7499999999991</v>
      </c>
      <c r="D539" s="207" t="str">
        <f>IF('Machine Fixed Monthly Cost VS I'!BB39="","",'Machine Fixed Monthly Cost VS I'!BB39)</f>
        <v/>
      </c>
      <c r="E539" s="209" t="str">
        <f>IF('Monthly Running Cost'!Z40="","",'Monthly Running Cost'!Z40)</f>
        <v/>
      </c>
    </row>
    <row r="540" spans="1:5" x14ac:dyDescent="0.3">
      <c r="E540" s="209"/>
    </row>
    <row r="541" spans="1:5" x14ac:dyDescent="0.3">
      <c r="A541" s="246" t="s">
        <v>244</v>
      </c>
      <c r="B541" s="246"/>
      <c r="C541" s="246"/>
      <c r="D541" s="246"/>
      <c r="E541" s="209"/>
    </row>
    <row r="542" spans="1:5" x14ac:dyDescent="0.3">
      <c r="A542" s="204" t="s">
        <v>199</v>
      </c>
      <c r="B542" s="205" t="s">
        <v>200</v>
      </c>
      <c r="C542" s="205" t="s">
        <v>201</v>
      </c>
      <c r="D542" s="206" t="s">
        <v>129</v>
      </c>
      <c r="E542" s="210" t="s">
        <v>248</v>
      </c>
    </row>
    <row r="543" spans="1:5" x14ac:dyDescent="0.3">
      <c r="A543" s="208" t="s">
        <v>202</v>
      </c>
      <c r="B543" s="207" t="str">
        <f>IF('Machine Fixed Monthly Cost VS I'!H40="","",'Machine Fixed Monthly Cost VS I'!H40)</f>
        <v/>
      </c>
      <c r="C543" s="207">
        <f>IF('Machine Fixed Monthly Cost VS I'!I40="","",'Machine Fixed Monthly Cost VS I'!I40)</f>
        <v>2012.4999999999998</v>
      </c>
      <c r="D543" s="207">
        <f>IF('Machine Fixed Monthly Cost VS I'!J40="","",'Machine Fixed Monthly Cost VS I'!J40)</f>
        <v>-2012.4999999999998</v>
      </c>
      <c r="E543" s="209" t="str">
        <f>IF('Monthly Running Cost'!D41="","",'Monthly Running Cost'!D41)</f>
        <v/>
      </c>
    </row>
    <row r="544" spans="1:5" x14ac:dyDescent="0.3">
      <c r="A544" s="208" t="s">
        <v>203</v>
      </c>
      <c r="B544" s="207" t="str">
        <f>IF('Machine Fixed Monthly Cost VS I'!L40="","",'Machine Fixed Monthly Cost VS I'!L40)</f>
        <v/>
      </c>
      <c r="C544" s="207">
        <f>IF('Machine Fixed Monthly Cost VS I'!M40="","",'Machine Fixed Monthly Cost VS I'!M40)</f>
        <v>2012.4999999999998</v>
      </c>
      <c r="D544" s="207">
        <f>IF('Machine Fixed Monthly Cost VS I'!N40="","",'Machine Fixed Monthly Cost VS I'!N40)</f>
        <v>-2012.4999999999998</v>
      </c>
      <c r="E544" s="209" t="str">
        <f>IF('Monthly Running Cost'!F41="","",'Monthly Running Cost'!F41)</f>
        <v/>
      </c>
    </row>
    <row r="545" spans="1:5" x14ac:dyDescent="0.3">
      <c r="A545" s="208" t="s">
        <v>204</v>
      </c>
      <c r="B545" s="207" t="str">
        <f>IF('Machine Fixed Monthly Cost VS I'!P40="","",'Machine Fixed Monthly Cost VS I'!P40)</f>
        <v/>
      </c>
      <c r="C545" s="207">
        <f>IF('Machine Fixed Monthly Cost VS I'!Q40="","",'Machine Fixed Monthly Cost VS I'!Q40)</f>
        <v>2012.4999999999998</v>
      </c>
      <c r="D545" s="207">
        <f>IF('Machine Fixed Monthly Cost VS I'!R40="","",'Machine Fixed Monthly Cost VS I'!R40)</f>
        <v>-2012.4999999999998</v>
      </c>
      <c r="E545" s="209" t="str">
        <f>IF('Monthly Running Cost'!H41="","",'Monthly Running Cost'!H41)</f>
        <v/>
      </c>
    </row>
    <row r="546" spans="1:5" x14ac:dyDescent="0.3">
      <c r="A546" s="208" t="s">
        <v>205</v>
      </c>
      <c r="B546" s="207" t="str">
        <f>IF('Machine Fixed Monthly Cost VS I'!T40="","",'Machine Fixed Monthly Cost VS I'!T40)</f>
        <v/>
      </c>
      <c r="C546" s="207">
        <f>IF('Machine Fixed Monthly Cost VS I'!U40="","",'Machine Fixed Monthly Cost VS I'!U40)</f>
        <v>2012.4999999999998</v>
      </c>
      <c r="D546" s="207">
        <f>IF('Machine Fixed Monthly Cost VS I'!V40="","",'Machine Fixed Monthly Cost VS I'!V40)</f>
        <v>-2012.4999999999998</v>
      </c>
      <c r="E546" s="209" t="str">
        <f>IF('Monthly Running Cost'!J41="","",'Monthly Running Cost'!J41)</f>
        <v/>
      </c>
    </row>
    <row r="547" spans="1:5" x14ac:dyDescent="0.3">
      <c r="A547" s="208" t="s">
        <v>206</v>
      </c>
      <c r="B547" s="207" t="str">
        <f>IF('Machine Fixed Monthly Cost VS I'!X40="","",'Machine Fixed Monthly Cost VS I'!X40)</f>
        <v/>
      </c>
      <c r="C547" s="207">
        <f>IF('Machine Fixed Monthly Cost VS I'!Y40="","",'Machine Fixed Monthly Cost VS I'!Y40)</f>
        <v>2012.4999999999998</v>
      </c>
      <c r="D547" s="207">
        <f>IF('Machine Fixed Monthly Cost VS I'!Z40="","",'Machine Fixed Monthly Cost VS I'!Z40)</f>
        <v>-2012.4999999999998</v>
      </c>
      <c r="E547" s="209" t="str">
        <f>IF('Monthly Running Cost'!L41="","",'Monthly Running Cost'!L41)</f>
        <v/>
      </c>
    </row>
    <row r="548" spans="1:5" x14ac:dyDescent="0.3">
      <c r="A548" s="208" t="s">
        <v>207</v>
      </c>
      <c r="B548" s="207" t="str">
        <f>IF('Machine Fixed Monthly Cost VS I'!AB40="","",'Machine Fixed Monthly Cost VS I'!AB40)</f>
        <v/>
      </c>
      <c r="C548" s="207">
        <f>IF('Machine Fixed Monthly Cost VS I'!AC40="","",'Machine Fixed Monthly Cost VS I'!AC40)</f>
        <v>2012.4999999999998</v>
      </c>
      <c r="D548" s="207">
        <f>IF('Machine Fixed Monthly Cost VS I'!AD40="","",'Machine Fixed Monthly Cost VS I'!AD40)</f>
        <v>-2012.4999999999998</v>
      </c>
      <c r="E548" s="209" t="str">
        <f>IF('Monthly Running Cost'!N41="","",'Monthly Running Cost'!N41)</f>
        <v/>
      </c>
    </row>
    <row r="549" spans="1:5" x14ac:dyDescent="0.3">
      <c r="A549" s="208" t="s">
        <v>208</v>
      </c>
      <c r="B549" s="207" t="str">
        <f>IF('Machine Fixed Monthly Cost VS I'!AF40="","",'Machine Fixed Monthly Cost VS I'!AF40)</f>
        <v/>
      </c>
      <c r="C549" s="207">
        <f>IF('Machine Fixed Monthly Cost VS I'!AG40="","",'Machine Fixed Monthly Cost VS I'!AG40)</f>
        <v>2012.4999999999998</v>
      </c>
      <c r="D549" s="207">
        <f>IF('Machine Fixed Monthly Cost VS I'!AH40="","",'Machine Fixed Monthly Cost VS I'!AH40)</f>
        <v>-2012.4999999999998</v>
      </c>
      <c r="E549" s="209" t="str">
        <f>IF('Monthly Running Cost'!P41="","",'Monthly Running Cost'!P41)</f>
        <v/>
      </c>
    </row>
    <row r="550" spans="1:5" x14ac:dyDescent="0.3">
      <c r="A550" s="208" t="s">
        <v>209</v>
      </c>
      <c r="B550" s="207" t="str">
        <f>IF('Machine Fixed Monthly Cost VS I'!AJ40="","",'Machine Fixed Monthly Cost VS I'!AJ40)</f>
        <v/>
      </c>
      <c r="C550" s="207">
        <f>IF('Machine Fixed Monthly Cost VS I'!AK40="","",'Machine Fixed Monthly Cost VS I'!AK40)</f>
        <v>2012.4999999999998</v>
      </c>
      <c r="D550" s="207">
        <f>IF('Machine Fixed Monthly Cost VS I'!AL40="","",'Machine Fixed Monthly Cost VS I'!AL40)</f>
        <v>-2012.4999999999998</v>
      </c>
      <c r="E550" s="209" t="str">
        <f>IF('Monthly Running Cost'!R41="","",'Monthly Running Cost'!R41)</f>
        <v/>
      </c>
    </row>
    <row r="551" spans="1:5" x14ac:dyDescent="0.3">
      <c r="A551" s="208" t="s">
        <v>210</v>
      </c>
      <c r="B551" s="207" t="str">
        <f>IF('Machine Fixed Monthly Cost VS I'!AN40="","",'Machine Fixed Monthly Cost VS I'!AN40)</f>
        <v/>
      </c>
      <c r="C551" s="207">
        <f>IF('Machine Fixed Monthly Cost VS I'!AO40="","",'Machine Fixed Monthly Cost VS I'!AO40)</f>
        <v>2012.4999999999998</v>
      </c>
      <c r="D551" s="207" t="str">
        <f>IF('Machine Fixed Monthly Cost VS I'!AP40="","",'Machine Fixed Monthly Cost VS I'!AP40)</f>
        <v/>
      </c>
      <c r="E551" s="209" t="str">
        <f>IF('Monthly Running Cost'!T41="","",'Monthly Running Cost'!T41)</f>
        <v/>
      </c>
    </row>
    <row r="552" spans="1:5" x14ac:dyDescent="0.3">
      <c r="A552" s="208" t="s">
        <v>211</v>
      </c>
      <c r="B552" s="207" t="str">
        <f>IF('Machine Fixed Monthly Cost VS I'!AR40="","",'Machine Fixed Monthly Cost VS I'!AR40)</f>
        <v/>
      </c>
      <c r="C552" s="207">
        <f>IF('Machine Fixed Monthly Cost VS I'!AS40="","",'Machine Fixed Monthly Cost VS I'!AS40)</f>
        <v>2012.4999999999998</v>
      </c>
      <c r="D552" s="207" t="str">
        <f>IF('Machine Fixed Monthly Cost VS I'!AT40="","",'Machine Fixed Monthly Cost VS I'!AT40)</f>
        <v/>
      </c>
      <c r="E552" s="209" t="str">
        <f>IF('Monthly Running Cost'!V41="","",'Monthly Running Cost'!V41)</f>
        <v/>
      </c>
    </row>
    <row r="553" spans="1:5" x14ac:dyDescent="0.3">
      <c r="A553" s="208" t="s">
        <v>212</v>
      </c>
      <c r="B553" s="207" t="str">
        <f>IF('Machine Fixed Monthly Cost VS I'!AV40="","",'Machine Fixed Monthly Cost VS I'!AV40)</f>
        <v/>
      </c>
      <c r="C553" s="207">
        <f>IF('Machine Fixed Monthly Cost VS I'!AW40="","",'Machine Fixed Monthly Cost VS I'!AW40)</f>
        <v>2012.4999999999998</v>
      </c>
      <c r="D553" s="207" t="str">
        <f>IF('Machine Fixed Monthly Cost VS I'!AX40="","",'Machine Fixed Monthly Cost VS I'!AX40)</f>
        <v/>
      </c>
      <c r="E553" s="209" t="str">
        <f>IF('Monthly Running Cost'!X41="","",'Monthly Running Cost'!X41)</f>
        <v/>
      </c>
    </row>
    <row r="554" spans="1:5" x14ac:dyDescent="0.3">
      <c r="A554" s="208" t="s">
        <v>213</v>
      </c>
      <c r="B554" s="207" t="str">
        <f>IF('Machine Fixed Monthly Cost VS I'!AZ40="","",'Machine Fixed Monthly Cost VS I'!AZ40)</f>
        <v/>
      </c>
      <c r="C554" s="207">
        <f>IF('Machine Fixed Monthly Cost VS I'!BA40="","",'Machine Fixed Monthly Cost VS I'!BA40)</f>
        <v>2012.4999999999998</v>
      </c>
      <c r="D554" s="207" t="str">
        <f>IF('Machine Fixed Monthly Cost VS I'!BB40="","",'Machine Fixed Monthly Cost VS I'!BB40)</f>
        <v/>
      </c>
      <c r="E554" s="209" t="str">
        <f>IF('Monthly Running Cost'!Z41="","",'Monthly Running Cost'!Z41)</f>
        <v/>
      </c>
    </row>
    <row r="555" spans="1:5" x14ac:dyDescent="0.3">
      <c r="E555" s="209"/>
    </row>
    <row r="556" spans="1:5" x14ac:dyDescent="0.3">
      <c r="A556" s="246" t="s">
        <v>245</v>
      </c>
      <c r="B556" s="246"/>
      <c r="C556" s="246"/>
      <c r="D556" s="246"/>
      <c r="E556" s="209"/>
    </row>
    <row r="557" spans="1:5" x14ac:dyDescent="0.3">
      <c r="A557" s="204" t="s">
        <v>199</v>
      </c>
      <c r="B557" s="205" t="s">
        <v>200</v>
      </c>
      <c r="C557" s="205" t="s">
        <v>201</v>
      </c>
      <c r="D557" s="206" t="s">
        <v>129</v>
      </c>
      <c r="E557" s="210" t="s">
        <v>248</v>
      </c>
    </row>
    <row r="558" spans="1:5" x14ac:dyDescent="0.3">
      <c r="A558" s="208" t="s">
        <v>202</v>
      </c>
      <c r="B558" s="207" t="str">
        <f>IF('Machine Fixed Monthly Cost VS I'!H41="","",'Machine Fixed Monthly Cost VS I'!H41)</f>
        <v/>
      </c>
      <c r="C558" s="207">
        <f>IF('Machine Fixed Monthly Cost VS I'!I41="","",'Machine Fixed Monthly Cost VS I'!I41)</f>
        <v>2012.4999999999998</v>
      </c>
      <c r="D558" s="207">
        <f>IF('Machine Fixed Monthly Cost VS I'!J41="","",'Machine Fixed Monthly Cost VS I'!J41)</f>
        <v>-2012.4999999999998</v>
      </c>
      <c r="E558" s="209" t="str">
        <f>IF('Monthly Running Cost'!D42="","",'Monthly Running Cost'!D42)</f>
        <v/>
      </c>
    </row>
    <row r="559" spans="1:5" x14ac:dyDescent="0.3">
      <c r="A559" s="208" t="s">
        <v>203</v>
      </c>
      <c r="B559" s="207" t="str">
        <f>IF('Machine Fixed Monthly Cost VS I'!L41="","",'Machine Fixed Monthly Cost VS I'!L41)</f>
        <v/>
      </c>
      <c r="C559" s="207">
        <f>IF('Machine Fixed Monthly Cost VS I'!M41="","",'Machine Fixed Monthly Cost VS I'!M41)</f>
        <v>2012.4999999999998</v>
      </c>
      <c r="D559" s="207">
        <f>IF('Machine Fixed Monthly Cost VS I'!N41="","",'Machine Fixed Monthly Cost VS I'!N41)</f>
        <v>-2012.4999999999998</v>
      </c>
      <c r="E559" s="209" t="str">
        <f>IF('Monthly Running Cost'!F42="","",'Monthly Running Cost'!F42)</f>
        <v/>
      </c>
    </row>
    <row r="560" spans="1:5" x14ac:dyDescent="0.3">
      <c r="A560" s="208" t="s">
        <v>204</v>
      </c>
      <c r="B560" s="207" t="str">
        <f>IF('Machine Fixed Monthly Cost VS I'!P41="","",'Machine Fixed Monthly Cost VS I'!P41)</f>
        <v/>
      </c>
      <c r="C560" s="207">
        <f>IF('Machine Fixed Monthly Cost VS I'!Q41="","",'Machine Fixed Monthly Cost VS I'!Q41)</f>
        <v>2012.4999999999998</v>
      </c>
      <c r="D560" s="207">
        <f>IF('Machine Fixed Monthly Cost VS I'!R41="","",'Machine Fixed Monthly Cost VS I'!R41)</f>
        <v>-2012.4999999999998</v>
      </c>
      <c r="E560" s="209" t="str">
        <f>IF('Monthly Running Cost'!H42="","",'Monthly Running Cost'!H42)</f>
        <v/>
      </c>
    </row>
    <row r="561" spans="1:5" x14ac:dyDescent="0.3">
      <c r="A561" s="208" t="s">
        <v>205</v>
      </c>
      <c r="B561" s="207" t="str">
        <f>IF('Machine Fixed Monthly Cost VS I'!T41="","",'Machine Fixed Monthly Cost VS I'!T41)</f>
        <v/>
      </c>
      <c r="C561" s="207">
        <f>IF('Machine Fixed Monthly Cost VS I'!U41="","",'Machine Fixed Monthly Cost VS I'!U41)</f>
        <v>2012.4999999999998</v>
      </c>
      <c r="D561" s="207">
        <f>IF('Machine Fixed Monthly Cost VS I'!V41="","",'Machine Fixed Monthly Cost VS I'!V41)</f>
        <v>-2012.4999999999998</v>
      </c>
      <c r="E561" s="209" t="str">
        <f>IF('Monthly Running Cost'!J42="","",'Monthly Running Cost'!J42)</f>
        <v/>
      </c>
    </row>
    <row r="562" spans="1:5" x14ac:dyDescent="0.3">
      <c r="A562" s="208" t="s">
        <v>206</v>
      </c>
      <c r="B562" s="207" t="str">
        <f>IF('Machine Fixed Monthly Cost VS I'!X41="","",'Machine Fixed Monthly Cost VS I'!X41)</f>
        <v/>
      </c>
      <c r="C562" s="207">
        <f>IF('Machine Fixed Monthly Cost VS I'!Y41="","",'Machine Fixed Monthly Cost VS I'!Y41)</f>
        <v>2012.4999999999998</v>
      </c>
      <c r="D562" s="207">
        <f>IF('Machine Fixed Monthly Cost VS I'!Z41="","",'Machine Fixed Monthly Cost VS I'!Z41)</f>
        <v>-2012.4999999999998</v>
      </c>
      <c r="E562" s="209" t="str">
        <f>IF('Monthly Running Cost'!L42="","",'Monthly Running Cost'!L42)</f>
        <v/>
      </c>
    </row>
    <row r="563" spans="1:5" x14ac:dyDescent="0.3">
      <c r="A563" s="208" t="s">
        <v>207</v>
      </c>
      <c r="B563" s="207" t="str">
        <f>IF('Machine Fixed Monthly Cost VS I'!AB41="","",'Machine Fixed Monthly Cost VS I'!AB41)</f>
        <v/>
      </c>
      <c r="C563" s="207">
        <f>IF('Machine Fixed Monthly Cost VS I'!AC41="","",'Machine Fixed Monthly Cost VS I'!AC41)</f>
        <v>2012.4999999999998</v>
      </c>
      <c r="D563" s="207">
        <f>IF('Machine Fixed Monthly Cost VS I'!AD41="","",'Machine Fixed Monthly Cost VS I'!AD41)</f>
        <v>-2012.4999999999998</v>
      </c>
      <c r="E563" s="209" t="str">
        <f>IF('Monthly Running Cost'!N42="","",'Monthly Running Cost'!N42)</f>
        <v/>
      </c>
    </row>
    <row r="564" spans="1:5" x14ac:dyDescent="0.3">
      <c r="A564" s="208" t="s">
        <v>208</v>
      </c>
      <c r="B564" s="207" t="str">
        <f>IF('Machine Fixed Monthly Cost VS I'!AF41="","",'Machine Fixed Monthly Cost VS I'!AF41)</f>
        <v/>
      </c>
      <c r="C564" s="207">
        <f>IF('Machine Fixed Monthly Cost VS I'!AG41="","",'Machine Fixed Monthly Cost VS I'!AG41)</f>
        <v>2012.4999999999998</v>
      </c>
      <c r="D564" s="207">
        <f>IF('Machine Fixed Monthly Cost VS I'!AH41="","",'Machine Fixed Monthly Cost VS I'!AH41)</f>
        <v>-2012.4999999999998</v>
      </c>
      <c r="E564" s="209" t="str">
        <f>IF('Monthly Running Cost'!P42="","",'Monthly Running Cost'!P42)</f>
        <v/>
      </c>
    </row>
    <row r="565" spans="1:5" x14ac:dyDescent="0.3">
      <c r="A565" s="208" t="s">
        <v>209</v>
      </c>
      <c r="B565" s="207" t="str">
        <f>IF('Machine Fixed Monthly Cost VS I'!AJ41="","",'Machine Fixed Monthly Cost VS I'!AJ41)</f>
        <v/>
      </c>
      <c r="C565" s="207">
        <f>IF('Machine Fixed Monthly Cost VS I'!AK41="","",'Machine Fixed Monthly Cost VS I'!AK41)</f>
        <v>2012.4999999999998</v>
      </c>
      <c r="D565" s="207">
        <f>IF('Machine Fixed Monthly Cost VS I'!AL41="","",'Machine Fixed Monthly Cost VS I'!AL41)</f>
        <v>-2012.4999999999998</v>
      </c>
      <c r="E565" s="209" t="str">
        <f>IF('Monthly Running Cost'!R42="","",'Monthly Running Cost'!R42)</f>
        <v/>
      </c>
    </row>
    <row r="566" spans="1:5" x14ac:dyDescent="0.3">
      <c r="A566" s="208" t="s">
        <v>210</v>
      </c>
      <c r="B566" s="207" t="str">
        <f>IF('Machine Fixed Monthly Cost VS I'!AN41="","",'Machine Fixed Monthly Cost VS I'!AN41)</f>
        <v/>
      </c>
      <c r="C566" s="207">
        <f>IF('Machine Fixed Monthly Cost VS I'!AO41="","",'Machine Fixed Monthly Cost VS I'!AO41)</f>
        <v>2012.4999999999998</v>
      </c>
      <c r="D566" s="207" t="str">
        <f>IF('Machine Fixed Monthly Cost VS I'!AP41="","",'Machine Fixed Monthly Cost VS I'!AP41)</f>
        <v/>
      </c>
      <c r="E566" s="209" t="str">
        <f>IF('Monthly Running Cost'!T42="","",'Monthly Running Cost'!T42)</f>
        <v/>
      </c>
    </row>
    <row r="567" spans="1:5" x14ac:dyDescent="0.3">
      <c r="A567" s="208" t="s">
        <v>211</v>
      </c>
      <c r="B567" s="207" t="str">
        <f>IF('Machine Fixed Monthly Cost VS I'!AR41="","",'Machine Fixed Monthly Cost VS I'!AR41)</f>
        <v/>
      </c>
      <c r="C567" s="207">
        <f>IF('Machine Fixed Monthly Cost VS I'!AS41="","",'Machine Fixed Monthly Cost VS I'!AS41)</f>
        <v>2012.4999999999998</v>
      </c>
      <c r="D567" s="207" t="str">
        <f>IF('Machine Fixed Monthly Cost VS I'!AT41="","",'Machine Fixed Monthly Cost VS I'!AT41)</f>
        <v/>
      </c>
      <c r="E567" s="209" t="str">
        <f>IF('Monthly Running Cost'!V42="","",'Monthly Running Cost'!V42)</f>
        <v/>
      </c>
    </row>
    <row r="568" spans="1:5" x14ac:dyDescent="0.3">
      <c r="A568" s="208" t="s">
        <v>212</v>
      </c>
      <c r="B568" s="207" t="str">
        <f>IF('Machine Fixed Monthly Cost VS I'!AV41="","",'Machine Fixed Monthly Cost VS I'!AV41)</f>
        <v/>
      </c>
      <c r="C568" s="207">
        <f>IF('Machine Fixed Monthly Cost VS I'!AW41="","",'Machine Fixed Monthly Cost VS I'!AW41)</f>
        <v>2012.4999999999998</v>
      </c>
      <c r="D568" s="207" t="str">
        <f>IF('Machine Fixed Monthly Cost VS I'!AX41="","",'Machine Fixed Monthly Cost VS I'!AX41)</f>
        <v/>
      </c>
      <c r="E568" s="209" t="str">
        <f>IF('Monthly Running Cost'!X42="","",'Monthly Running Cost'!X42)</f>
        <v/>
      </c>
    </row>
    <row r="569" spans="1:5" x14ac:dyDescent="0.3">
      <c r="A569" s="208" t="s">
        <v>213</v>
      </c>
      <c r="B569" s="207" t="str">
        <f>IF('Machine Fixed Monthly Cost VS I'!AZ41="","",'Machine Fixed Monthly Cost VS I'!AZ41)</f>
        <v/>
      </c>
      <c r="C569" s="207">
        <f>IF('Machine Fixed Monthly Cost VS I'!BA41="","",'Machine Fixed Monthly Cost VS I'!BA41)</f>
        <v>2012.4999999999998</v>
      </c>
      <c r="D569" s="207" t="str">
        <f>IF('Machine Fixed Monthly Cost VS I'!BB41="","",'Machine Fixed Monthly Cost VS I'!BB41)</f>
        <v/>
      </c>
      <c r="E569" s="209" t="str">
        <f>IF('Monthly Running Cost'!Z42="","",'Monthly Running Cost'!Z42)</f>
        <v/>
      </c>
    </row>
    <row r="570" spans="1:5" x14ac:dyDescent="0.3">
      <c r="E570" s="209"/>
    </row>
    <row r="571" spans="1:5" x14ac:dyDescent="0.3">
      <c r="A571" s="246" t="s">
        <v>53</v>
      </c>
      <c r="B571" s="246"/>
      <c r="C571" s="246"/>
      <c r="D571" s="246"/>
      <c r="E571" s="209"/>
    </row>
    <row r="572" spans="1:5" x14ac:dyDescent="0.3">
      <c r="A572" s="204" t="s">
        <v>199</v>
      </c>
      <c r="B572" s="205" t="s">
        <v>200</v>
      </c>
      <c r="C572" s="205" t="s">
        <v>201</v>
      </c>
      <c r="D572" s="206" t="s">
        <v>129</v>
      </c>
      <c r="E572" s="210" t="s">
        <v>248</v>
      </c>
    </row>
    <row r="573" spans="1:5" x14ac:dyDescent="0.3">
      <c r="A573" s="208" t="s">
        <v>202</v>
      </c>
      <c r="B573" s="207" t="str">
        <f>IF('Machine Fixed Monthly Cost VS I'!H42="","",'Machine Fixed Monthly Cost VS I'!H42)</f>
        <v/>
      </c>
      <c r="C573" s="207">
        <f>IF('Machine Fixed Monthly Cost VS I'!I42="","",'Machine Fixed Monthly Cost VS I'!I42)</f>
        <v>335.41666666666669</v>
      </c>
      <c r="D573" s="207">
        <f>IF('Machine Fixed Monthly Cost VS I'!J42="","",'Machine Fixed Monthly Cost VS I'!J42)</f>
        <v>-335.41666666666669</v>
      </c>
      <c r="E573" s="209" t="str">
        <f>IF('Monthly Running Cost'!D43="","",'Monthly Running Cost'!D43)</f>
        <v/>
      </c>
    </row>
    <row r="574" spans="1:5" x14ac:dyDescent="0.3">
      <c r="A574" s="208" t="s">
        <v>203</v>
      </c>
      <c r="B574" s="207" t="str">
        <f>IF('Machine Fixed Monthly Cost VS I'!L42="","",'Machine Fixed Monthly Cost VS I'!L42)</f>
        <v/>
      </c>
      <c r="C574" s="207">
        <f>IF('Machine Fixed Monthly Cost VS I'!M42="","",'Machine Fixed Monthly Cost VS I'!M42)</f>
        <v>335.41666666666669</v>
      </c>
      <c r="D574" s="207">
        <f>IF('Machine Fixed Monthly Cost VS I'!N42="","",'Machine Fixed Monthly Cost VS I'!N42)</f>
        <v>-335.41666666666669</v>
      </c>
      <c r="E574" s="209" t="str">
        <f>IF('Monthly Running Cost'!F43="","",'Monthly Running Cost'!F43)</f>
        <v/>
      </c>
    </row>
    <row r="575" spans="1:5" x14ac:dyDescent="0.3">
      <c r="A575" s="208" t="s">
        <v>204</v>
      </c>
      <c r="B575" s="207" t="str">
        <f>IF('Machine Fixed Monthly Cost VS I'!P42="","",'Machine Fixed Monthly Cost VS I'!P42)</f>
        <v/>
      </c>
      <c r="C575" s="207">
        <f>IF('Machine Fixed Monthly Cost VS I'!Q42="","",'Machine Fixed Monthly Cost VS I'!Q42)</f>
        <v>335.41666666666669</v>
      </c>
      <c r="D575" s="207">
        <f>IF('Machine Fixed Monthly Cost VS I'!R42="","",'Machine Fixed Monthly Cost VS I'!R42)</f>
        <v>-335.41666666666669</v>
      </c>
      <c r="E575" s="209" t="str">
        <f>IF('Monthly Running Cost'!H43="","",'Monthly Running Cost'!H43)</f>
        <v/>
      </c>
    </row>
    <row r="576" spans="1:5" x14ac:dyDescent="0.3">
      <c r="A576" s="208" t="s">
        <v>205</v>
      </c>
      <c r="B576" s="207" t="str">
        <f>IF('Machine Fixed Monthly Cost VS I'!T42="","",'Machine Fixed Monthly Cost VS I'!T42)</f>
        <v/>
      </c>
      <c r="C576" s="207">
        <f>IF('Machine Fixed Monthly Cost VS I'!U42="","",'Machine Fixed Monthly Cost VS I'!U42)</f>
        <v>335.41666666666669</v>
      </c>
      <c r="D576" s="207">
        <f>IF('Machine Fixed Monthly Cost VS I'!V42="","",'Machine Fixed Monthly Cost VS I'!V42)</f>
        <v>-335.41666666666669</v>
      </c>
      <c r="E576" s="209" t="str">
        <f>IF('Monthly Running Cost'!J43="","",'Monthly Running Cost'!J43)</f>
        <v/>
      </c>
    </row>
    <row r="577" spans="1:5" x14ac:dyDescent="0.3">
      <c r="A577" s="208" t="s">
        <v>206</v>
      </c>
      <c r="B577" s="207" t="str">
        <f>IF('Machine Fixed Monthly Cost VS I'!X42="","",'Machine Fixed Monthly Cost VS I'!X42)</f>
        <v/>
      </c>
      <c r="C577" s="207">
        <f>IF('Machine Fixed Monthly Cost VS I'!Y42="","",'Machine Fixed Monthly Cost VS I'!Y42)</f>
        <v>335.41666666666669</v>
      </c>
      <c r="D577" s="207">
        <f>IF('Machine Fixed Monthly Cost VS I'!Z42="","",'Machine Fixed Monthly Cost VS I'!Z42)</f>
        <v>-335.41666666666669</v>
      </c>
      <c r="E577" s="209" t="str">
        <f>IF('Monthly Running Cost'!L43="","",'Monthly Running Cost'!L43)</f>
        <v/>
      </c>
    </row>
    <row r="578" spans="1:5" x14ac:dyDescent="0.3">
      <c r="A578" s="208" t="s">
        <v>207</v>
      </c>
      <c r="B578" s="207" t="str">
        <f>IF('Machine Fixed Monthly Cost VS I'!AB42="","",'Machine Fixed Monthly Cost VS I'!AB42)</f>
        <v/>
      </c>
      <c r="C578" s="207">
        <f>IF('Machine Fixed Monthly Cost VS I'!AC42="","",'Machine Fixed Monthly Cost VS I'!AC42)</f>
        <v>335.41666666666669</v>
      </c>
      <c r="D578" s="207">
        <f>IF('Machine Fixed Monthly Cost VS I'!AD42="","",'Machine Fixed Monthly Cost VS I'!AD42)</f>
        <v>-335.41666666666669</v>
      </c>
      <c r="E578" s="209" t="str">
        <f>IF('Monthly Running Cost'!N43="","",'Monthly Running Cost'!N43)</f>
        <v/>
      </c>
    </row>
    <row r="579" spans="1:5" x14ac:dyDescent="0.3">
      <c r="A579" s="208" t="s">
        <v>208</v>
      </c>
      <c r="B579" s="207" t="str">
        <f>IF('Machine Fixed Monthly Cost VS I'!AF42="","",'Machine Fixed Monthly Cost VS I'!AF42)</f>
        <v/>
      </c>
      <c r="C579" s="207">
        <f>IF('Machine Fixed Monthly Cost VS I'!AG42="","",'Machine Fixed Monthly Cost VS I'!AG42)</f>
        <v>335.41666666666669</v>
      </c>
      <c r="D579" s="207">
        <f>IF('Machine Fixed Monthly Cost VS I'!AH42="","",'Machine Fixed Monthly Cost VS I'!AH42)</f>
        <v>-335.41666666666669</v>
      </c>
      <c r="E579" s="209" t="str">
        <f>IF('Monthly Running Cost'!P43="","",'Monthly Running Cost'!P43)</f>
        <v/>
      </c>
    </row>
    <row r="580" spans="1:5" x14ac:dyDescent="0.3">
      <c r="A580" s="208" t="s">
        <v>209</v>
      </c>
      <c r="B580" s="207" t="str">
        <f>IF('Machine Fixed Monthly Cost VS I'!AJ42="","",'Machine Fixed Monthly Cost VS I'!AJ42)</f>
        <v/>
      </c>
      <c r="C580" s="207">
        <f>IF('Machine Fixed Monthly Cost VS I'!AK42="","",'Machine Fixed Monthly Cost VS I'!AK42)</f>
        <v>335.41666666666669</v>
      </c>
      <c r="D580" s="207">
        <f>IF('Machine Fixed Monthly Cost VS I'!AL42="","",'Machine Fixed Monthly Cost VS I'!AL42)</f>
        <v>-335.41666666666669</v>
      </c>
      <c r="E580" s="209" t="str">
        <f>IF('Monthly Running Cost'!R43="","",'Monthly Running Cost'!R43)</f>
        <v/>
      </c>
    </row>
    <row r="581" spans="1:5" x14ac:dyDescent="0.3">
      <c r="A581" s="208" t="s">
        <v>210</v>
      </c>
      <c r="B581" s="207" t="str">
        <f>IF('Machine Fixed Monthly Cost VS I'!AN42="","",'Machine Fixed Monthly Cost VS I'!AN42)</f>
        <v/>
      </c>
      <c r="C581" s="207">
        <f>IF('Machine Fixed Monthly Cost VS I'!AO42="","",'Machine Fixed Monthly Cost VS I'!AO42)</f>
        <v>335.41666666666669</v>
      </c>
      <c r="D581" s="207" t="str">
        <f>IF('Machine Fixed Monthly Cost VS I'!AP42="","",'Machine Fixed Monthly Cost VS I'!AP42)</f>
        <v/>
      </c>
      <c r="E581" s="209" t="str">
        <f>IF('Monthly Running Cost'!T43="","",'Monthly Running Cost'!T43)</f>
        <v/>
      </c>
    </row>
    <row r="582" spans="1:5" x14ac:dyDescent="0.3">
      <c r="A582" s="208" t="s">
        <v>211</v>
      </c>
      <c r="B582" s="207" t="str">
        <f>IF('Machine Fixed Monthly Cost VS I'!AR42="","",'Machine Fixed Monthly Cost VS I'!AR42)</f>
        <v/>
      </c>
      <c r="C582" s="207">
        <f>IF('Machine Fixed Monthly Cost VS I'!AS42="","",'Machine Fixed Monthly Cost VS I'!AS42)</f>
        <v>335.41666666666669</v>
      </c>
      <c r="D582" s="207" t="str">
        <f>IF('Machine Fixed Monthly Cost VS I'!AT42="","",'Machine Fixed Monthly Cost VS I'!AT42)</f>
        <v/>
      </c>
      <c r="E582" s="209" t="str">
        <f>IF('Monthly Running Cost'!V43="","",'Monthly Running Cost'!V43)</f>
        <v/>
      </c>
    </row>
    <row r="583" spans="1:5" x14ac:dyDescent="0.3">
      <c r="A583" s="208" t="s">
        <v>212</v>
      </c>
      <c r="B583" s="207" t="str">
        <f>IF('Machine Fixed Monthly Cost VS I'!AV42="","",'Machine Fixed Monthly Cost VS I'!AV42)</f>
        <v/>
      </c>
      <c r="C583" s="207">
        <f>IF('Machine Fixed Monthly Cost VS I'!AW42="","",'Machine Fixed Monthly Cost VS I'!AW42)</f>
        <v>335.41666666666669</v>
      </c>
      <c r="D583" s="207" t="str">
        <f>IF('Machine Fixed Monthly Cost VS I'!AX42="","",'Machine Fixed Monthly Cost VS I'!AX42)</f>
        <v/>
      </c>
      <c r="E583" s="209" t="str">
        <f>IF('Monthly Running Cost'!X43="","",'Monthly Running Cost'!X43)</f>
        <v/>
      </c>
    </row>
    <row r="584" spans="1:5" x14ac:dyDescent="0.3">
      <c r="A584" s="208" t="s">
        <v>213</v>
      </c>
      <c r="B584" s="207" t="str">
        <f>IF('Machine Fixed Monthly Cost VS I'!AZ42="","",'Machine Fixed Monthly Cost VS I'!AZ42)</f>
        <v/>
      </c>
      <c r="C584" s="207">
        <f>IF('Machine Fixed Monthly Cost VS I'!BA42="","",'Machine Fixed Monthly Cost VS I'!BA42)</f>
        <v>335.41666666666669</v>
      </c>
      <c r="D584" s="207" t="str">
        <f>IF('Machine Fixed Monthly Cost VS I'!BB42="","",'Machine Fixed Monthly Cost VS I'!BB42)</f>
        <v/>
      </c>
      <c r="E584" s="209" t="str">
        <f>IF('Monthly Running Cost'!Z43="","",'Monthly Running Cost'!Z43)</f>
        <v/>
      </c>
    </row>
    <row r="585" spans="1:5" x14ac:dyDescent="0.3">
      <c r="E585" s="209"/>
    </row>
    <row r="586" spans="1:5" x14ac:dyDescent="0.3">
      <c r="A586" s="246" t="s">
        <v>43</v>
      </c>
      <c r="B586" s="246"/>
      <c r="C586" s="246"/>
      <c r="D586" s="246"/>
      <c r="E586" s="209"/>
    </row>
    <row r="587" spans="1:5" x14ac:dyDescent="0.3">
      <c r="A587" s="204" t="s">
        <v>199</v>
      </c>
      <c r="B587" s="205" t="s">
        <v>200</v>
      </c>
      <c r="C587" s="205" t="s">
        <v>201</v>
      </c>
      <c r="D587" s="206" t="s">
        <v>129</v>
      </c>
      <c r="E587" s="210" t="s">
        <v>248</v>
      </c>
    </row>
    <row r="588" spans="1:5" x14ac:dyDescent="0.3">
      <c r="A588" s="208" t="s">
        <v>202</v>
      </c>
      <c r="B588" s="207" t="str">
        <f>IF('Machine Fixed Monthly Cost VS I'!H43="","",'Machine Fixed Monthly Cost VS I'!H43)</f>
        <v/>
      </c>
      <c r="C588" s="207">
        <f>IF('Machine Fixed Monthly Cost VS I'!I43="","",'Machine Fixed Monthly Cost VS I'!I43)</f>
        <v>4024.9999999999995</v>
      </c>
      <c r="D588" s="207">
        <f>IF('Machine Fixed Monthly Cost VS I'!J43="","",'Machine Fixed Monthly Cost VS I'!J43)</f>
        <v>-4024.9999999999995</v>
      </c>
      <c r="E588" s="209" t="str">
        <f>IF('Monthly Running Cost'!D44="","",'Monthly Running Cost'!D44)</f>
        <v/>
      </c>
    </row>
    <row r="589" spans="1:5" x14ac:dyDescent="0.3">
      <c r="A589" s="208" t="s">
        <v>203</v>
      </c>
      <c r="B589" s="207" t="str">
        <f>IF('Machine Fixed Monthly Cost VS I'!L43="","",'Machine Fixed Monthly Cost VS I'!L43)</f>
        <v/>
      </c>
      <c r="C589" s="207">
        <f>IF('Machine Fixed Monthly Cost VS I'!M43="","",'Machine Fixed Monthly Cost VS I'!M43)</f>
        <v>4024.9999999999995</v>
      </c>
      <c r="D589" s="207">
        <f>IF('Machine Fixed Monthly Cost VS I'!N43="","",'Machine Fixed Monthly Cost VS I'!N43)</f>
        <v>-4024.9999999999995</v>
      </c>
      <c r="E589" s="209" t="str">
        <f>IF('Monthly Running Cost'!F44="","",'Monthly Running Cost'!F44)</f>
        <v/>
      </c>
    </row>
    <row r="590" spans="1:5" x14ac:dyDescent="0.3">
      <c r="A590" s="208" t="s">
        <v>204</v>
      </c>
      <c r="B590" s="207" t="str">
        <f>IF('Machine Fixed Monthly Cost VS I'!P43="","",'Machine Fixed Monthly Cost VS I'!P43)</f>
        <v/>
      </c>
      <c r="C590" s="207">
        <f>IF('Machine Fixed Monthly Cost VS I'!Q43="","",'Machine Fixed Monthly Cost VS I'!Q43)</f>
        <v>4024.9999999999995</v>
      </c>
      <c r="D590" s="207">
        <f>IF('Machine Fixed Monthly Cost VS I'!R43="","",'Machine Fixed Monthly Cost VS I'!R43)</f>
        <v>-4024.9999999999995</v>
      </c>
      <c r="E590" s="209" t="str">
        <f>IF('Monthly Running Cost'!H44="","",'Monthly Running Cost'!H44)</f>
        <v/>
      </c>
    </row>
    <row r="591" spans="1:5" x14ac:dyDescent="0.3">
      <c r="A591" s="208" t="s">
        <v>205</v>
      </c>
      <c r="B591" s="207" t="str">
        <f>IF('Machine Fixed Monthly Cost VS I'!T43="","",'Machine Fixed Monthly Cost VS I'!T43)</f>
        <v/>
      </c>
      <c r="C591" s="207">
        <f>IF('Machine Fixed Monthly Cost VS I'!U43="","",'Machine Fixed Monthly Cost VS I'!U43)</f>
        <v>4024.9999999999995</v>
      </c>
      <c r="D591" s="207">
        <f>IF('Machine Fixed Monthly Cost VS I'!V43="","",'Machine Fixed Monthly Cost VS I'!V43)</f>
        <v>-4024.9999999999995</v>
      </c>
      <c r="E591" s="209" t="str">
        <f>IF('Monthly Running Cost'!J44="","",'Monthly Running Cost'!J44)</f>
        <v/>
      </c>
    </row>
    <row r="592" spans="1:5" x14ac:dyDescent="0.3">
      <c r="A592" s="208" t="s">
        <v>206</v>
      </c>
      <c r="B592" s="207" t="str">
        <f>IF('Machine Fixed Monthly Cost VS I'!X43="","",'Machine Fixed Monthly Cost VS I'!X43)</f>
        <v/>
      </c>
      <c r="C592" s="207">
        <f>IF('Machine Fixed Monthly Cost VS I'!Y43="","",'Machine Fixed Monthly Cost VS I'!Y43)</f>
        <v>4024.9999999999995</v>
      </c>
      <c r="D592" s="207">
        <f>IF('Machine Fixed Monthly Cost VS I'!Z43="","",'Machine Fixed Monthly Cost VS I'!Z43)</f>
        <v>-4024.9999999999995</v>
      </c>
      <c r="E592" s="209" t="str">
        <f>IF('Monthly Running Cost'!L44="","",'Monthly Running Cost'!L44)</f>
        <v/>
      </c>
    </row>
    <row r="593" spans="1:5" x14ac:dyDescent="0.3">
      <c r="A593" s="208" t="s">
        <v>207</v>
      </c>
      <c r="B593" s="207" t="str">
        <f>IF('Machine Fixed Monthly Cost VS I'!AB43="","",'Machine Fixed Monthly Cost VS I'!AB43)</f>
        <v/>
      </c>
      <c r="C593" s="207">
        <f>IF('Machine Fixed Monthly Cost VS I'!AC43="","",'Machine Fixed Monthly Cost VS I'!AC43)</f>
        <v>4024.9999999999995</v>
      </c>
      <c r="D593" s="207">
        <f>IF('Machine Fixed Monthly Cost VS I'!AD43="","",'Machine Fixed Monthly Cost VS I'!AD43)</f>
        <v>-4024.9999999999995</v>
      </c>
      <c r="E593" s="209" t="str">
        <f>IF('Monthly Running Cost'!N44="","",'Monthly Running Cost'!N44)</f>
        <v/>
      </c>
    </row>
    <row r="594" spans="1:5" x14ac:dyDescent="0.3">
      <c r="A594" s="208" t="s">
        <v>208</v>
      </c>
      <c r="B594" s="207" t="str">
        <f>IF('Machine Fixed Monthly Cost VS I'!AF43="","",'Machine Fixed Monthly Cost VS I'!AF43)</f>
        <v/>
      </c>
      <c r="C594" s="207">
        <f>IF('Machine Fixed Monthly Cost VS I'!AG43="","",'Machine Fixed Monthly Cost VS I'!AG43)</f>
        <v>4024.9999999999995</v>
      </c>
      <c r="D594" s="207">
        <f>IF('Machine Fixed Monthly Cost VS I'!AH43="","",'Machine Fixed Monthly Cost VS I'!AH43)</f>
        <v>-4024.9999999999995</v>
      </c>
      <c r="E594" s="209" t="str">
        <f>IF('Monthly Running Cost'!P44="","",'Monthly Running Cost'!P44)</f>
        <v/>
      </c>
    </row>
    <row r="595" spans="1:5" x14ac:dyDescent="0.3">
      <c r="A595" s="208" t="s">
        <v>209</v>
      </c>
      <c r="B595" s="207" t="str">
        <f>IF('Machine Fixed Monthly Cost VS I'!AJ43="","",'Machine Fixed Monthly Cost VS I'!AJ43)</f>
        <v/>
      </c>
      <c r="C595" s="207">
        <f>IF('Machine Fixed Monthly Cost VS I'!AK43="","",'Machine Fixed Monthly Cost VS I'!AK43)</f>
        <v>4024.9999999999995</v>
      </c>
      <c r="D595" s="207">
        <f>IF('Machine Fixed Monthly Cost VS I'!AL43="","",'Machine Fixed Monthly Cost VS I'!AL43)</f>
        <v>-4024.9999999999995</v>
      </c>
      <c r="E595" s="209" t="str">
        <f>IF('Monthly Running Cost'!R44="","",'Monthly Running Cost'!R44)</f>
        <v/>
      </c>
    </row>
    <row r="596" spans="1:5" x14ac:dyDescent="0.3">
      <c r="A596" s="208" t="s">
        <v>210</v>
      </c>
      <c r="B596" s="207" t="str">
        <f>IF('Machine Fixed Monthly Cost VS I'!AN43="","",'Machine Fixed Monthly Cost VS I'!AN43)</f>
        <v/>
      </c>
      <c r="C596" s="207">
        <f>IF('Machine Fixed Monthly Cost VS I'!AO43="","",'Machine Fixed Monthly Cost VS I'!AO43)</f>
        <v>4024.9999999999995</v>
      </c>
      <c r="D596" s="207" t="str">
        <f>IF('Machine Fixed Monthly Cost VS I'!AP43="","",'Machine Fixed Monthly Cost VS I'!AP43)</f>
        <v/>
      </c>
      <c r="E596" s="209" t="str">
        <f>IF('Monthly Running Cost'!T44="","",'Monthly Running Cost'!T44)</f>
        <v/>
      </c>
    </row>
    <row r="597" spans="1:5" x14ac:dyDescent="0.3">
      <c r="A597" s="208" t="s">
        <v>211</v>
      </c>
      <c r="B597" s="207" t="str">
        <f>IF('Machine Fixed Monthly Cost VS I'!AR43="","",'Machine Fixed Monthly Cost VS I'!AR43)</f>
        <v/>
      </c>
      <c r="C597" s="207">
        <f>IF('Machine Fixed Monthly Cost VS I'!AS43="","",'Machine Fixed Monthly Cost VS I'!AS43)</f>
        <v>4024.9999999999995</v>
      </c>
      <c r="D597" s="207" t="str">
        <f>IF('Machine Fixed Monthly Cost VS I'!AT43="","",'Machine Fixed Monthly Cost VS I'!AT43)</f>
        <v/>
      </c>
      <c r="E597" s="209" t="str">
        <f>IF('Monthly Running Cost'!V44="","",'Monthly Running Cost'!V44)</f>
        <v/>
      </c>
    </row>
    <row r="598" spans="1:5" x14ac:dyDescent="0.3">
      <c r="A598" s="208" t="s">
        <v>212</v>
      </c>
      <c r="B598" s="207" t="str">
        <f>IF('Machine Fixed Monthly Cost VS I'!AV43="","",'Machine Fixed Monthly Cost VS I'!AV43)</f>
        <v/>
      </c>
      <c r="C598" s="207">
        <f>IF('Machine Fixed Monthly Cost VS I'!AW43="","",'Machine Fixed Monthly Cost VS I'!AW43)</f>
        <v>4024.9999999999995</v>
      </c>
      <c r="D598" s="207" t="str">
        <f>IF('Machine Fixed Monthly Cost VS I'!AX43="","",'Machine Fixed Monthly Cost VS I'!AX43)</f>
        <v/>
      </c>
      <c r="E598" s="209" t="str">
        <f>IF('Monthly Running Cost'!X44="","",'Monthly Running Cost'!X44)</f>
        <v/>
      </c>
    </row>
    <row r="599" spans="1:5" x14ac:dyDescent="0.3">
      <c r="A599" s="208" t="s">
        <v>213</v>
      </c>
      <c r="B599" s="207" t="str">
        <f>IF('Machine Fixed Monthly Cost VS I'!AZ43="","",'Machine Fixed Monthly Cost VS I'!AZ43)</f>
        <v/>
      </c>
      <c r="C599" s="207">
        <f>IF('Machine Fixed Monthly Cost VS I'!BA43="","",'Machine Fixed Monthly Cost VS I'!BA43)</f>
        <v>4024.9999999999995</v>
      </c>
      <c r="D599" s="207" t="str">
        <f>IF('Machine Fixed Monthly Cost VS I'!BB43="","",'Machine Fixed Monthly Cost VS I'!BB43)</f>
        <v/>
      </c>
      <c r="E599" s="209" t="str">
        <f>IF('Monthly Running Cost'!Z44="","",'Monthly Running Cost'!Z44)</f>
        <v/>
      </c>
    </row>
  </sheetData>
  <mergeCells count="40">
    <mergeCell ref="A526:D526"/>
    <mergeCell ref="A541:D541"/>
    <mergeCell ref="A556:D556"/>
    <mergeCell ref="A571:D571"/>
    <mergeCell ref="A586:D586"/>
    <mergeCell ref="A451:D451"/>
    <mergeCell ref="A466:D466"/>
    <mergeCell ref="A481:D481"/>
    <mergeCell ref="A496:D496"/>
    <mergeCell ref="A511:D511"/>
    <mergeCell ref="A376:D376"/>
    <mergeCell ref="A391:D391"/>
    <mergeCell ref="A406:D406"/>
    <mergeCell ref="A421:D421"/>
    <mergeCell ref="A436:D436"/>
    <mergeCell ref="A301:D301"/>
    <mergeCell ref="A316:D316"/>
    <mergeCell ref="A331:D331"/>
    <mergeCell ref="A346:D346"/>
    <mergeCell ref="A361:D361"/>
    <mergeCell ref="A226:D226"/>
    <mergeCell ref="A241:D241"/>
    <mergeCell ref="A256:D256"/>
    <mergeCell ref="A271:D271"/>
    <mergeCell ref="A286:D286"/>
    <mergeCell ref="A151:D151"/>
    <mergeCell ref="A166:D166"/>
    <mergeCell ref="A181:D181"/>
    <mergeCell ref="A196:D196"/>
    <mergeCell ref="A211:D211"/>
    <mergeCell ref="A76:D76"/>
    <mergeCell ref="A91:D91"/>
    <mergeCell ref="A106:D106"/>
    <mergeCell ref="A121:D121"/>
    <mergeCell ref="A136:D136"/>
    <mergeCell ref="A1:D1"/>
    <mergeCell ref="A16:D16"/>
    <mergeCell ref="A31:D31"/>
    <mergeCell ref="A46:D46"/>
    <mergeCell ref="A61:D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"/>
  <sheetViews>
    <sheetView showGridLines="0" workbookViewId="0">
      <selection sqref="A1:Q1"/>
    </sheetView>
  </sheetViews>
  <sheetFormatPr defaultRowHeight="14.4" x14ac:dyDescent="0.3"/>
  <sheetData>
    <row r="1" spans="1:17" ht="28.05" customHeight="1" x14ac:dyDescent="0.3">
      <c r="A1" s="211" t="s">
        <v>246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</row>
    <row r="2" spans="1:17" x14ac:dyDescent="0.3">
      <c r="A2" s="212" t="s">
        <v>247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</row>
  </sheetData>
  <mergeCells count="2">
    <mergeCell ref="A1:Q1"/>
    <mergeCell ref="A2:Q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Cost</vt:lpstr>
      <vt:lpstr>Monthly Running Cost</vt:lpstr>
      <vt:lpstr>Machine Fixed Monthly Cost VS I</vt:lpstr>
      <vt:lpstr>Machine Graph Data</vt:lpstr>
      <vt:lpstr>Machine Monthly Graphs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 van der Linde</dc:creator>
  <cp:lastModifiedBy>Charl van der Linde</cp:lastModifiedBy>
  <dcterms:created xsi:type="dcterms:W3CDTF">2026-09-01T08:44:57Z</dcterms:created>
  <dcterms:modified xsi:type="dcterms:W3CDTF">2026-09-11T11:12:21Z</dcterms:modified>
</cp:coreProperties>
</file>